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1220" windowHeight="5895" tabRatio="599" activeTab="0"/>
  </bookViews>
  <sheets>
    <sheet name="Sheet1" sheetId="1" r:id="rId1"/>
  </sheets>
  <definedNames>
    <definedName name="_xlnm.Print_Area" localSheetId="0">'Sheet1'!$A$1:$L$267</definedName>
    <definedName name="_xlnm.Print_Titles" localSheetId="0">'Sheet1'!$4:$8</definedName>
  </definedNames>
  <calcPr fullCalcOnLoad="1"/>
</workbook>
</file>

<file path=xl/sharedStrings.xml><?xml version="1.0" encoding="utf-8"?>
<sst xmlns="http://schemas.openxmlformats.org/spreadsheetml/2006/main" count="275" uniqueCount="260">
  <si>
    <t>Scheme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</si>
  <si>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</si>
  <si>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</si>
  <si>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</si>
  <si>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</si>
  <si>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</si>
  <si>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</si>
  <si>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</si>
  <si>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</si>
  <si>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</si>
  <si>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</si>
  <si>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</si>
  <si>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Sl. No.</t>
  </si>
  <si>
    <t>Of which flow to WC</t>
  </si>
  <si>
    <t>Total Outlay</t>
  </si>
  <si>
    <t>Major Head /                  Sub-head</t>
  </si>
  <si>
    <t>(Rs. lakh)</t>
  </si>
  <si>
    <t xml:space="preserve">Tenth Plan 2002-07          </t>
  </si>
  <si>
    <t>Projected Outlay
at 2001-02 price</t>
  </si>
  <si>
    <t>ANNEXURE - IX-A</t>
  </si>
  <si>
    <t>WOMEN COMPONENT (WC) IN THE STATE PLAN PROGRAMMES - I</t>
  </si>
  <si>
    <t>DRAFT ELEVENTH FIVE YEAR PLAN (2007-12) AND ANNUAL PLAN 2007-08 - FINANCIAL OUTLAYS : PROPOSALS FOR WC</t>
  </si>
  <si>
    <t>(0)</t>
  </si>
  <si>
    <t>Annual Plan
2005-06</t>
  </si>
  <si>
    <t>Actual
Expenditure
under
WC</t>
  </si>
  <si>
    <t>Tenth Plan
2002-07</t>
  </si>
  <si>
    <t>Anticipated
Expenditure
under
WC</t>
  </si>
  <si>
    <t>Annual Plan
2006-07</t>
  </si>
  <si>
    <t>Eleventh Plan (2007-12)</t>
  </si>
  <si>
    <t>Annual Plan (2007-08)</t>
  </si>
  <si>
    <t>Total 
Outlay</t>
  </si>
  <si>
    <t>Eleventh Five Year Plan (2007-12) - Proposed Outlays
(at 2006-07 prices)</t>
  </si>
  <si>
    <t>AGRICULTURE</t>
  </si>
  <si>
    <t>1.</t>
  </si>
  <si>
    <t>2.</t>
  </si>
  <si>
    <t>Sub-Total</t>
  </si>
  <si>
    <t>ANIMAL HUSBANDRY</t>
  </si>
  <si>
    <t>3.</t>
  </si>
  <si>
    <t>DAIRY DEVELOPMENT</t>
  </si>
  <si>
    <t>FISHERIES</t>
  </si>
  <si>
    <t>Assistance to Small scale Fishermen</t>
  </si>
  <si>
    <t>10</t>
  </si>
  <si>
    <r>
      <t>CO-OPERATION</t>
    </r>
    <r>
      <rPr>
        <sz val="12"/>
        <rFont val="Arial"/>
        <family val="2"/>
      </rPr>
      <t xml:space="preserve"> </t>
    </r>
  </si>
  <si>
    <t>INTEGRATED RURAL ENERGY PROGRAMME</t>
  </si>
  <si>
    <t>13</t>
  </si>
  <si>
    <t>COMMUNITY DEVELOPMENT</t>
  </si>
  <si>
    <t>14</t>
  </si>
  <si>
    <t>Community Development Programme</t>
  </si>
  <si>
    <t>15</t>
  </si>
  <si>
    <r>
      <t>NON-CONVENTIONAL SOURCES OF ENERGY</t>
    </r>
    <r>
      <rPr>
        <sz val="12"/>
        <rFont val="Arial"/>
        <family val="2"/>
      </rPr>
      <t xml:space="preserve"> </t>
    </r>
  </si>
  <si>
    <t>16</t>
  </si>
  <si>
    <t>New Sources of Energy</t>
  </si>
  <si>
    <r>
      <t>INDUSTRIES</t>
    </r>
    <r>
      <rPr>
        <sz val="12"/>
        <rFont val="Arial"/>
        <family val="2"/>
      </rPr>
      <t xml:space="preserve"> </t>
    </r>
  </si>
  <si>
    <t>17</t>
  </si>
  <si>
    <t>Development of handicrafts</t>
  </si>
  <si>
    <t>18</t>
  </si>
  <si>
    <t>19</t>
  </si>
  <si>
    <t>Development of coir industry</t>
  </si>
  <si>
    <t>20</t>
  </si>
  <si>
    <t>Marketing and Publicity</t>
  </si>
  <si>
    <t>21</t>
  </si>
  <si>
    <t>District Industries Centre</t>
  </si>
  <si>
    <t>22</t>
  </si>
  <si>
    <t>Training</t>
  </si>
  <si>
    <t>23</t>
  </si>
  <si>
    <r>
      <t>HANDLOOMS</t>
    </r>
    <r>
      <rPr>
        <sz val="12"/>
        <rFont val="Arial"/>
        <family val="2"/>
      </rPr>
      <t xml:space="preserve"> </t>
    </r>
  </si>
  <si>
    <t>24</t>
  </si>
  <si>
    <t>Weavers Welfare Scheme</t>
  </si>
  <si>
    <r>
      <t>EDUCATION</t>
    </r>
    <r>
      <rPr>
        <sz val="12"/>
        <rFont val="Arial"/>
        <family val="2"/>
      </rPr>
      <t xml:space="preserve"> </t>
    </r>
  </si>
  <si>
    <t>25</t>
  </si>
  <si>
    <t>Pre-primary education</t>
  </si>
  <si>
    <t>26</t>
  </si>
  <si>
    <t>27</t>
  </si>
  <si>
    <t>28</t>
  </si>
  <si>
    <t>29</t>
  </si>
  <si>
    <t>31</t>
  </si>
  <si>
    <t>32</t>
  </si>
  <si>
    <t>34</t>
  </si>
  <si>
    <t>35</t>
  </si>
  <si>
    <t>36</t>
  </si>
  <si>
    <t>37</t>
  </si>
  <si>
    <t>38</t>
  </si>
  <si>
    <t>39</t>
  </si>
  <si>
    <t>40</t>
  </si>
  <si>
    <t>41</t>
  </si>
  <si>
    <t>Bharath Scouts and Guides</t>
  </si>
  <si>
    <t>42</t>
  </si>
  <si>
    <t>National Service Schemes</t>
  </si>
  <si>
    <t>43</t>
  </si>
  <si>
    <t>Adult Education Programme (MNP)</t>
  </si>
  <si>
    <r>
      <t>MEDICAL &amp; PUBLIC HEALTH</t>
    </r>
    <r>
      <rPr>
        <sz val="12"/>
        <rFont val="Arial"/>
        <family val="2"/>
      </rPr>
      <t xml:space="preserve"> </t>
    </r>
  </si>
  <si>
    <t>46</t>
  </si>
  <si>
    <t>47</t>
  </si>
  <si>
    <t>Employees State Insurance</t>
  </si>
  <si>
    <t>48</t>
  </si>
  <si>
    <t>Improvements to General Hospitals</t>
  </si>
  <si>
    <t>49</t>
  </si>
  <si>
    <t>T.B.Control Programme</t>
  </si>
  <si>
    <t>50</t>
  </si>
  <si>
    <t>Leprosy Control Programme</t>
  </si>
  <si>
    <t>51</t>
  </si>
  <si>
    <t>Improvements to Opthalmic Services</t>
  </si>
  <si>
    <t>53</t>
  </si>
  <si>
    <t>54</t>
  </si>
  <si>
    <r>
      <t>HOUSING</t>
    </r>
    <r>
      <rPr>
        <sz val="12"/>
        <rFont val="Arial"/>
        <family val="2"/>
      </rPr>
      <t xml:space="preserve"> </t>
    </r>
  </si>
  <si>
    <t>55</t>
  </si>
  <si>
    <t>56</t>
  </si>
  <si>
    <t>57</t>
  </si>
  <si>
    <t>58</t>
  </si>
  <si>
    <t>59</t>
  </si>
  <si>
    <t>URBAN DEVELOPMENT</t>
  </si>
  <si>
    <t>60</t>
  </si>
  <si>
    <r>
      <t>WELFARE OF BACKWARD CLASSES</t>
    </r>
    <r>
      <rPr>
        <sz val="12"/>
        <rFont val="Arial"/>
        <family val="2"/>
      </rPr>
      <t xml:space="preserve"> </t>
    </r>
  </si>
  <si>
    <t>61</t>
  </si>
  <si>
    <t>62</t>
  </si>
  <si>
    <t>63</t>
  </si>
  <si>
    <t>64</t>
  </si>
  <si>
    <t>65</t>
  </si>
  <si>
    <t>67</t>
  </si>
  <si>
    <t>68</t>
  </si>
  <si>
    <t>70</t>
  </si>
  <si>
    <t>71</t>
  </si>
  <si>
    <t>72</t>
  </si>
  <si>
    <t>73</t>
  </si>
  <si>
    <t>Distribution of cycles</t>
  </si>
  <si>
    <t>LABOUR &amp; LABOUR WELFARE</t>
  </si>
  <si>
    <t>74</t>
  </si>
  <si>
    <t>75</t>
  </si>
  <si>
    <t>76</t>
  </si>
  <si>
    <t>77</t>
  </si>
  <si>
    <t>Expansion of Govt. I.T.Is</t>
  </si>
  <si>
    <t>78</t>
  </si>
  <si>
    <t>79</t>
  </si>
  <si>
    <t>81</t>
  </si>
  <si>
    <t>SOCIAL WELFARE</t>
  </si>
  <si>
    <t>82</t>
  </si>
  <si>
    <t>83</t>
  </si>
  <si>
    <t>84</t>
  </si>
  <si>
    <t>85</t>
  </si>
  <si>
    <t>Homes for Juvenile Delinquents</t>
  </si>
  <si>
    <t>86</t>
  </si>
  <si>
    <t>Grants to Voluntary Organisations</t>
  </si>
  <si>
    <t>87</t>
  </si>
  <si>
    <t>Beggar Home</t>
  </si>
  <si>
    <t>88</t>
  </si>
  <si>
    <t>90</t>
  </si>
  <si>
    <t>Setting up of Resort for Aged</t>
  </si>
  <si>
    <t>92</t>
  </si>
  <si>
    <t>Supply of free rice to disabled persons</t>
  </si>
  <si>
    <r>
      <t>WOMEN AND CHILD DEVELOPMENT</t>
    </r>
    <r>
      <rPr>
        <sz val="12"/>
        <rFont val="Arial"/>
        <family val="2"/>
      </rPr>
      <t xml:space="preserve"> </t>
    </r>
  </si>
  <si>
    <t>93</t>
  </si>
  <si>
    <t>94</t>
  </si>
  <si>
    <t>Women Development Corporation</t>
  </si>
  <si>
    <t>95</t>
  </si>
  <si>
    <t>97</t>
  </si>
  <si>
    <t>Women's Welfare Commission</t>
  </si>
  <si>
    <t>98</t>
  </si>
  <si>
    <t>99</t>
  </si>
  <si>
    <t>100</t>
  </si>
  <si>
    <t>Distribution of free rice to poor people</t>
  </si>
  <si>
    <t>101</t>
  </si>
  <si>
    <r>
      <t>NUTRITION</t>
    </r>
    <r>
      <rPr>
        <sz val="12"/>
        <rFont val="Arial"/>
        <family val="2"/>
      </rPr>
      <t xml:space="preserve"> </t>
    </r>
  </si>
  <si>
    <t>102</t>
  </si>
  <si>
    <t>103</t>
  </si>
  <si>
    <t>Nutrition component of ICDS</t>
  </si>
  <si>
    <t>Grand Total</t>
  </si>
  <si>
    <t>Tsunami Relief Fund</t>
  </si>
  <si>
    <t>Housing assistance to BPL population (IAY)</t>
  </si>
  <si>
    <t>SGSY</t>
  </si>
  <si>
    <t>TSC</t>
  </si>
  <si>
    <t>Mother Theresa Institute of Health Sciences</t>
  </si>
  <si>
    <t>Construction of Women &amp; Children Hospital</t>
  </si>
  <si>
    <t>Hostel for working women</t>
  </si>
  <si>
    <t>Pilot project for the grant of food grains to the undernourished pregnant / lactating mothers and adolescent girls</t>
  </si>
  <si>
    <t>Scheme for diversification of Agriculture through Horticulture crops (Development of Horticultural Crops)</t>
  </si>
  <si>
    <t>Scheme for setting up of relief fund to provide assistance to farmers (New Scheme from Eleventh Plan)</t>
  </si>
  <si>
    <t>Selection of High yielding female jersey cross breed cows and raising their female calfs for building up an elite stock (Cattle breeding with high yielding crossed jersey cows</t>
  </si>
  <si>
    <t>6</t>
  </si>
  <si>
    <t>Puducherry Livestock &amp; Poultry Development Corporation</t>
  </si>
  <si>
    <t>Development of Colleges of General Education</t>
  </si>
  <si>
    <t>Training centres for rural artisans/ masons</t>
  </si>
  <si>
    <t>Free distribution of clothing items to SC people</t>
  </si>
  <si>
    <t>Strengthening of Employment Exchange</t>
  </si>
  <si>
    <t>Programmes for Welfare of Women</t>
  </si>
  <si>
    <t>Sub-total</t>
  </si>
  <si>
    <t>Assisting women belonging to Economically backward section for setting up small goat unit</t>
  </si>
  <si>
    <t>Intensive poultry development project and livestock poultry research centre and extension centre</t>
  </si>
  <si>
    <t>Investment assistance to Dairy Co-operative for expansion/ new business activities and better performance</t>
  </si>
  <si>
    <t>Training of fishermen, fisherwomen and fisheries personnel</t>
  </si>
  <si>
    <t>Strengthening of Pondicherry State Co-op. Federation, Karaikal. Fishermen Co-op. Marketing Union and fishermen co-op. societies</t>
  </si>
  <si>
    <t>Supply of fishery requisites to fishermen</t>
  </si>
  <si>
    <t>Welfare and Relief for fishermen during lean seasons and natural calamities</t>
  </si>
  <si>
    <t>Investment Assistance for the development of infrastructure facilities and business expansion</t>
  </si>
  <si>
    <t>Subsidy for various energy conserving devices</t>
  </si>
  <si>
    <t>Promotion and Strengthening of Mahila Mandals and Yuvak Mandals</t>
  </si>
  <si>
    <t>Development of Khadi &amp; Village Industries</t>
  </si>
  <si>
    <t>Motivation of SC and ST and women entrepreneurs to start industries</t>
  </si>
  <si>
    <t>Universalisation of Elementary Education for the age group of 6-14</t>
  </si>
  <si>
    <t>Free supply of Text books, Stationery, Uniforms and footwear to children studying in STds. I to VIII in Govt. schools</t>
  </si>
  <si>
    <t>Opening of New high schools and improvements to existing high schools</t>
  </si>
  <si>
    <t>Conversion of sec.schools into Higher Sec. Schools and improvements to the existing Higher Sec. Schools</t>
  </si>
  <si>
    <t>Award of Pre-matric schlorships to OEBC students</t>
  </si>
  <si>
    <t>Incentive awards to students studying in +2 belonging to poor and weaker section of the society</t>
  </si>
  <si>
    <t>Development of Govt. Law College, Puducherry</t>
  </si>
  <si>
    <t>Development of Centre for Post Graduate Studies</t>
  </si>
  <si>
    <t>Setting up and development of technical / vocational higher secondary schools</t>
  </si>
  <si>
    <t>Opening, expansion and improvements of Polytechnic</t>
  </si>
  <si>
    <t>Development of Engineering College, Puducherry</t>
  </si>
  <si>
    <t>Strengthening and Development of Sports, Physical education and youth activities</t>
  </si>
  <si>
    <t>Improvements to maternity and child health services</t>
  </si>
  <si>
    <t>Training of Women Nurse and Para Medical staff</t>
  </si>
  <si>
    <t>Slum upgradation Programme (EWS Housing Site &amp; Service)</t>
  </si>
  <si>
    <t>Distribution of free house-site to landless labourers in rural areas</t>
  </si>
  <si>
    <t>Rural house sites-cum-hut construction scheme</t>
  </si>
  <si>
    <t>Grant of subsidy for construction of low cost dwelling units for SC</t>
  </si>
  <si>
    <t>Nehru Rozgar Yojana &amp; Prime Minister's Integrated Urban Poverty Eradication Programme (State share/ Swarna Jayanthi Sahari Rozgar Yojana)</t>
  </si>
  <si>
    <t>Grant of opportunity cost to the parents of SC girl students in middle and secondary level classes (Std. VI to X)</t>
  </si>
  <si>
    <t>Financial assistance to perform marriage of SC poor brides, pregnant and lactating women and unemployed graduates</t>
  </si>
  <si>
    <t>Financial Assistance to Pondicherry Backward Classes and Minority Development Corporation</t>
  </si>
  <si>
    <t>Pondicherry Adi-dravidar Development Corporation (PADCO)</t>
  </si>
  <si>
    <t>Award of Pre-matric schlorship to SC Students</t>
  </si>
  <si>
    <t>Opening, Maintenance and expansion of Hostels</t>
  </si>
  <si>
    <t>Grant-in-aid for constn. Of houses for the Scavengers and waterborne latrines civic amenities</t>
  </si>
  <si>
    <t>Programmes for the development of backward class people</t>
  </si>
  <si>
    <t>Hostels for backward class boys and girl students</t>
  </si>
  <si>
    <t>Strenthening of Enforcement machinery for implementation of various Labour laws and eradication of child labour and rehabilitation of children and setting up of Agricultural labour cell.</t>
  </si>
  <si>
    <t>Expansion of Rural Labour Welfare Centres</t>
  </si>
  <si>
    <t>Setting up of I.T at Mahe, Yanam &amp; new ITI in rural area</t>
  </si>
  <si>
    <t>Strengthening of Apprenticeship Training Scheme</t>
  </si>
  <si>
    <t>Grant-in-aid to Franco Indian Vocational Training Institute</t>
  </si>
  <si>
    <t>Homes for Handicapped/Mentally Retarded / Aged and infirm</t>
  </si>
  <si>
    <t>Welfare Programme for disabled persons</t>
  </si>
  <si>
    <t>Prevention and early detection of handicaps</t>
  </si>
  <si>
    <t>Distribution of Chappals &amp; Blankets for aged people</t>
  </si>
  <si>
    <t>Strengthening of Dte. of Women and Child Development / Opening of Training Centre</t>
  </si>
  <si>
    <t>Construction of anganwadi buildings/ CDPO's Office</t>
  </si>
  <si>
    <t>Providing financial assistance to old age beneficiaries</t>
  </si>
  <si>
    <t xml:space="preserve">Distribution of free clothes to poor and economically backward people </t>
  </si>
  <si>
    <t>Midday meals to poor children studying in Stds. I to VIII in Govt. schools</t>
  </si>
  <si>
    <t>Provision of Break-fast to poor students studying in Govt. / Govt aided schools</t>
  </si>
  <si>
    <t>4</t>
  </si>
  <si>
    <t>5</t>
  </si>
  <si>
    <t>7</t>
  </si>
  <si>
    <t>8</t>
  </si>
  <si>
    <t>9</t>
  </si>
  <si>
    <t>11</t>
  </si>
  <si>
    <t>12</t>
  </si>
  <si>
    <t>30</t>
  </si>
  <si>
    <t>33</t>
  </si>
  <si>
    <t>44</t>
  </si>
  <si>
    <t>45</t>
  </si>
  <si>
    <t>52</t>
  </si>
  <si>
    <t>66</t>
  </si>
  <si>
    <t>69</t>
  </si>
  <si>
    <t>80</t>
  </si>
  <si>
    <t>89</t>
  </si>
  <si>
    <t>91</t>
  </si>
  <si>
    <t>96</t>
  </si>
  <si>
    <t>Establishment of Mahatma Gandhi Dental College, 
Puducherry.</t>
  </si>
  <si>
    <t>Integrated Agricultural Extension Programme and training for women farmers (Crop Production Technology)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</si>
</sst>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;\-&quot;Rs.&quot;#,##0"/>
    <numFmt numFmtId="165" formatCode="&quot;Rs.&quot;#,##0;[Red]\-&quot;Rs.&quot;#,##0"/>
    <numFmt numFmtId="166" formatCode="&quot;Rs.&quot;#,##0.00;\-&quot;Rs.&quot;#,##0.00"/>
    <numFmt numFmtId="167" formatCode="&quot;Rs.&quot;#,##0.00;[Red]\-&quot;Rs.&quot;#,##0.00"/>
    <numFmt numFmtId="168" formatCode="_-&quot;Rs.&quot;* #,##0_-;\-&quot;Rs.&quot;* #,##0_-;_-&quot;Rs.&quot;* &quot;-&quot;_-;_-@_-"/>
    <numFmt numFmtId="169" formatCode="_-* #,##0_-;\-* #,##0_-;_-* &quot;-&quot;_-;_-@_-"/>
    <numFmt numFmtId="170" formatCode="_-&quot;Rs.&quot;* #,##0.00_-;\-&quot;Rs.&quot;* #,##0.00_-;_-&quot;Rs.&quot;* &quot;-&quot;??_-;_-@_-"/>
    <numFmt numFmtId="171" formatCode="_-* #,##0.00_-;\-* #,##0.00_-;_-* &quot;-&quot;??_-;_-@_-"/>
    <numFmt numFmtId="172" formatCode="0.00;[Red]0.00"/>
    <numFmt numFmtId="173" formatCode="0.0"/>
    <numFmt numFmtId="174" formatCode="0.000"/>
  </numFmts>
  <fonts count="4">
    <font>
      <sz val="12"/>
      <name val="Arial"/>
      <family val="0"/>
    </font>
    <font>
      <b/>
      <sz val="12"/>
      <name val="Arial"/>
      <family val="2"/>
    </font>
    <font>
      <b/>
      <sz val="15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2" xfId="0" applyFont="1" applyBorder="1" applyAlignment="1" quotePrefix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 quotePrefix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49" fontId="1" fillId="0" borderId="1" xfId="0" applyNumberFormat="1" applyFont="1" applyBorder="1" applyAlignment="1" quotePrefix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/>
    </xf>
    <xf numFmtId="172" fontId="0" fillId="0" borderId="0" xfId="0" applyNumberFormat="1" applyBorder="1" applyAlignment="1">
      <alignment vertical="top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/>
    </xf>
    <xf numFmtId="2" fontId="1" fillId="0" borderId="3" xfId="0" applyNumberFormat="1" applyFont="1" applyBorder="1" applyAlignment="1">
      <alignment/>
    </xf>
    <xf numFmtId="0" fontId="0" fillId="0" borderId="0" xfId="0" applyBorder="1" applyAlignment="1" quotePrefix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 quotePrefix="1">
      <alignment horizontal="center"/>
    </xf>
    <xf numFmtId="49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0" fillId="0" borderId="0" xfId="0" applyFill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0" fillId="0" borderId="0" xfId="0" applyBorder="1" applyAlignment="1">
      <alignment horizontal="justify" vertical="top"/>
    </xf>
    <xf numFmtId="49" fontId="0" fillId="0" borderId="0" xfId="0" applyNumberFormat="1" applyBorder="1" applyAlignment="1">
      <alignment horizontal="center" vertical="top"/>
    </xf>
    <xf numFmtId="0" fontId="0" fillId="0" borderId="0" xfId="0" applyFill="1" applyBorder="1" applyAlignment="1">
      <alignment horizontal="left"/>
    </xf>
    <xf numFmtId="0" fontId="0" fillId="0" borderId="0" xfId="0" applyBorder="1" applyAlignment="1" quotePrefix="1">
      <alignment horizontal="left"/>
    </xf>
    <xf numFmtId="2" fontId="0" fillId="0" borderId="0" xfId="0" applyNumberFormat="1" applyBorder="1" applyAlignment="1">
      <alignment vertical="top"/>
    </xf>
    <xf numFmtId="2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 horizontal="justify" vertical="top" wrapText="1"/>
    </xf>
    <xf numFmtId="0" fontId="0" fillId="0" borderId="0" xfId="0" applyBorder="1" applyAlignment="1" quotePrefix="1">
      <alignment horizontal="justify" vertical="top" wrapText="1"/>
    </xf>
    <xf numFmtId="2" fontId="0" fillId="0" borderId="0" xfId="0" applyNumberFormat="1" applyBorder="1" applyAlignment="1">
      <alignment horizontal="justify" vertical="top"/>
    </xf>
    <xf numFmtId="2" fontId="0" fillId="0" borderId="0" xfId="0" applyNumberFormat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justify" vertical="top"/>
    </xf>
    <xf numFmtId="2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  <xf numFmtId="2" fontId="0" fillId="0" borderId="0" xfId="0" applyNumberFormat="1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4"/>
  <sheetViews>
    <sheetView tabSelected="1" zoomScale="75" zoomScaleNormal="75" zoomScaleSheetLayoutView="100" workbookViewId="0" topLeftCell="A241">
      <selection activeCell="C267" sqref="C267"/>
    </sheetView>
  </sheetViews>
  <sheetFormatPr defaultColWidth="8.88671875" defaultRowHeight="15"/>
  <cols>
    <col min="1" max="1" width="7.5546875" style="6" customWidth="1"/>
    <col min="2" max="2" width="18.5546875" style="1" customWidth="1"/>
    <col min="3" max="3" width="24.6640625" style="1" customWidth="1"/>
    <col min="4" max="4" width="10.21484375" style="0" customWidth="1"/>
    <col min="5" max="5" width="10.3359375" style="0" customWidth="1"/>
    <col min="6" max="9" width="12.21484375" style="0" customWidth="1"/>
    <col min="10" max="10" width="12.10546875" style="0" customWidth="1"/>
    <col min="11" max="11" width="10.21484375" style="0" customWidth="1"/>
    <col min="12" max="12" width="11.4453125" style="0" customWidth="1"/>
  </cols>
  <sheetData>
    <row r="1" spans="1:12" ht="15.75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9.5">
      <c r="A2" s="38" t="s">
        <v>20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23.25" customHeight="1">
      <c r="A3" s="39" t="s">
        <v>21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0:13" ht="15.75">
      <c r="J4" s="5"/>
      <c r="L4" s="5" t="s">
        <v>16</v>
      </c>
      <c r="M4" s="2"/>
    </row>
    <row r="5" spans="1:13" ht="47.25" customHeight="1">
      <c r="A5" s="41" t="s">
        <v>12</v>
      </c>
      <c r="B5" s="36" t="s">
        <v>15</v>
      </c>
      <c r="C5" s="36" t="s">
        <v>0</v>
      </c>
      <c r="D5" s="36" t="s">
        <v>17</v>
      </c>
      <c r="E5" s="36"/>
      <c r="F5" s="3" t="s">
        <v>23</v>
      </c>
      <c r="G5" s="3" t="s">
        <v>27</v>
      </c>
      <c r="H5" s="3" t="s">
        <v>25</v>
      </c>
      <c r="I5" s="36" t="s">
        <v>31</v>
      </c>
      <c r="J5" s="36"/>
      <c r="K5" s="36"/>
      <c r="L5" s="36"/>
      <c r="M5" s="1"/>
    </row>
    <row r="6" spans="1:12" ht="48.75" customHeight="1">
      <c r="A6" s="41"/>
      <c r="B6" s="36"/>
      <c r="C6" s="36"/>
      <c r="D6" s="36" t="s">
        <v>18</v>
      </c>
      <c r="E6" s="40"/>
      <c r="F6" s="36" t="s">
        <v>24</v>
      </c>
      <c r="G6" s="36" t="s">
        <v>26</v>
      </c>
      <c r="H6" s="36" t="s">
        <v>26</v>
      </c>
      <c r="I6" s="36" t="s">
        <v>28</v>
      </c>
      <c r="J6" s="40"/>
      <c r="K6" s="40" t="s">
        <v>29</v>
      </c>
      <c r="L6" s="40"/>
    </row>
    <row r="7" spans="1:12" ht="69.75" customHeight="1">
      <c r="A7" s="41"/>
      <c r="B7" s="36"/>
      <c r="C7" s="36"/>
      <c r="D7" s="3" t="s">
        <v>14</v>
      </c>
      <c r="E7" s="4" t="s">
        <v>13</v>
      </c>
      <c r="F7" s="36"/>
      <c r="G7" s="36"/>
      <c r="H7" s="36"/>
      <c r="I7" s="3" t="s">
        <v>30</v>
      </c>
      <c r="J7" s="4" t="s">
        <v>13</v>
      </c>
      <c r="K7" s="3" t="s">
        <v>14</v>
      </c>
      <c r="L7" s="4" t="s">
        <v>13</v>
      </c>
    </row>
    <row r="8" spans="1:12" ht="25.5" customHeight="1">
      <c r="A8" s="26" t="s">
        <v>22</v>
      </c>
      <c r="B8" s="27" t="s">
        <v>1</v>
      </c>
      <c r="C8" s="27" t="s">
        <v>2</v>
      </c>
      <c r="D8" s="27" t="s">
        <v>3</v>
      </c>
      <c r="E8" s="27" t="s">
        <v>4</v>
      </c>
      <c r="F8" s="27" t="s">
        <v>5</v>
      </c>
      <c r="G8" s="27" t="s">
        <v>6</v>
      </c>
      <c r="H8" s="27" t="s">
        <v>7</v>
      </c>
      <c r="I8" s="27" t="s">
        <v>8</v>
      </c>
      <c r="J8" s="27" t="s">
        <v>9</v>
      </c>
      <c r="K8" s="27" t="s">
        <v>10</v>
      </c>
      <c r="L8" s="27" t="s">
        <v>11</v>
      </c>
    </row>
    <row r="9" spans="1:3" ht="15.75">
      <c r="A9" s="7"/>
      <c r="B9" s="42" t="s">
        <v>32</v>
      </c>
      <c r="C9" s="42"/>
    </row>
    <row r="10" spans="1:12" s="55" customFormat="1" ht="51" customHeight="1">
      <c r="A10" s="50" t="s">
        <v>33</v>
      </c>
      <c r="B10" s="46" t="s">
        <v>259</v>
      </c>
      <c r="C10" s="46"/>
      <c r="D10" s="53">
        <v>50</v>
      </c>
      <c r="E10" s="53">
        <v>15</v>
      </c>
      <c r="F10" s="54">
        <v>37.5</v>
      </c>
      <c r="G10" s="54">
        <v>40.4</v>
      </c>
      <c r="H10" s="54">
        <v>85.1</v>
      </c>
      <c r="I10" s="54">
        <v>2758</v>
      </c>
      <c r="J10" s="54">
        <v>275.8</v>
      </c>
      <c r="K10" s="54">
        <v>542</v>
      </c>
      <c r="L10" s="54">
        <v>54.2</v>
      </c>
    </row>
    <row r="11" spans="1:12" ht="9" customHeight="1">
      <c r="A11" s="28"/>
      <c r="B11" s="43"/>
      <c r="C11" s="43"/>
      <c r="D11" s="17"/>
      <c r="E11" s="17"/>
      <c r="F11" s="17"/>
      <c r="G11" s="17"/>
      <c r="H11" s="17"/>
      <c r="I11" s="17"/>
      <c r="J11" s="17"/>
      <c r="K11" s="17"/>
      <c r="L11" s="17"/>
    </row>
    <row r="12" spans="1:12" s="55" customFormat="1" ht="56.25" customHeight="1">
      <c r="A12" s="50" t="s">
        <v>34</v>
      </c>
      <c r="B12" s="46" t="s">
        <v>174</v>
      </c>
      <c r="C12" s="46"/>
      <c r="D12" s="53">
        <v>1100</v>
      </c>
      <c r="E12" s="53">
        <v>97</v>
      </c>
      <c r="F12" s="54">
        <v>44.34</v>
      </c>
      <c r="G12" s="54">
        <v>30</v>
      </c>
      <c r="H12" s="54">
        <v>74.34</v>
      </c>
      <c r="I12" s="54">
        <v>2591</v>
      </c>
      <c r="J12" s="54">
        <v>259.1</v>
      </c>
      <c r="K12" s="54">
        <v>429</v>
      </c>
      <c r="L12" s="54">
        <v>42.9</v>
      </c>
    </row>
    <row r="13" spans="1:12" ht="9.75" customHeight="1">
      <c r="A13" s="28"/>
      <c r="B13" s="9"/>
      <c r="D13" s="19"/>
      <c r="E13" s="19"/>
      <c r="F13" s="17"/>
      <c r="G13" s="17"/>
      <c r="H13" s="17"/>
      <c r="I13" s="17"/>
      <c r="J13" s="17"/>
      <c r="K13" s="17"/>
      <c r="L13" s="17"/>
    </row>
    <row r="14" spans="1:12" s="55" customFormat="1" ht="53.25" customHeight="1">
      <c r="A14" s="50" t="s">
        <v>37</v>
      </c>
      <c r="B14" s="46" t="s">
        <v>175</v>
      </c>
      <c r="C14" s="60"/>
      <c r="D14" s="53">
        <v>0</v>
      </c>
      <c r="E14" s="53">
        <v>0</v>
      </c>
      <c r="F14" s="54">
        <v>0</v>
      </c>
      <c r="G14" s="54">
        <v>0</v>
      </c>
      <c r="H14" s="54">
        <v>0</v>
      </c>
      <c r="I14" s="54">
        <v>750</v>
      </c>
      <c r="J14" s="54">
        <v>75</v>
      </c>
      <c r="K14" s="54">
        <v>150</v>
      </c>
      <c r="L14" s="54">
        <v>15</v>
      </c>
    </row>
    <row r="15" spans="1:12" ht="8.25" customHeight="1">
      <c r="A15" s="28"/>
      <c r="B15" s="9"/>
      <c r="D15" s="19"/>
      <c r="E15" s="19"/>
      <c r="F15" s="17"/>
      <c r="G15" s="17"/>
      <c r="H15" s="17"/>
      <c r="I15" s="17"/>
      <c r="J15" s="17"/>
      <c r="K15" s="17"/>
      <c r="L15" s="17"/>
    </row>
    <row r="16" spans="1:12" ht="15.75">
      <c r="A16" s="29"/>
      <c r="B16" s="11" t="s">
        <v>35</v>
      </c>
      <c r="C16" s="12"/>
      <c r="D16" s="22">
        <f>SUBTOTAL(9,D10:D15)</f>
        <v>1150</v>
      </c>
      <c r="E16" s="22">
        <f aca="true" t="shared" si="0" ref="E16:L16">SUBTOTAL(9,E10:E15)</f>
        <v>112</v>
      </c>
      <c r="F16" s="22">
        <f t="shared" si="0"/>
        <v>81.84</v>
      </c>
      <c r="G16" s="22">
        <f t="shared" si="0"/>
        <v>70.4</v>
      </c>
      <c r="H16" s="22">
        <f t="shared" si="0"/>
        <v>159.44</v>
      </c>
      <c r="I16" s="22">
        <f t="shared" si="0"/>
        <v>6099</v>
      </c>
      <c r="J16" s="22">
        <f t="shared" si="0"/>
        <v>609.9000000000001</v>
      </c>
      <c r="K16" s="22">
        <f t="shared" si="0"/>
        <v>1121</v>
      </c>
      <c r="L16" s="22">
        <f t="shared" si="0"/>
        <v>112.1</v>
      </c>
    </row>
    <row r="17" spans="1:12" ht="15">
      <c r="A17" s="28"/>
      <c r="B17" s="43"/>
      <c r="C17" s="43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15.75">
      <c r="A18" s="28"/>
      <c r="B18" s="42" t="s">
        <v>36</v>
      </c>
      <c r="C18" s="42"/>
      <c r="D18" s="17"/>
      <c r="E18" s="17"/>
      <c r="F18" s="17"/>
      <c r="G18" s="17"/>
      <c r="H18" s="17"/>
      <c r="I18" s="17"/>
      <c r="J18" s="17"/>
      <c r="K18" s="17"/>
      <c r="L18" s="17"/>
    </row>
    <row r="19" spans="1:12" s="55" customFormat="1" ht="35.25" customHeight="1">
      <c r="A19" s="50" t="s">
        <v>240</v>
      </c>
      <c r="B19" s="60" t="s">
        <v>185</v>
      </c>
      <c r="C19" s="60"/>
      <c r="D19" s="53">
        <v>27.5</v>
      </c>
      <c r="E19" s="53">
        <v>27.5</v>
      </c>
      <c r="F19" s="54">
        <v>30.08</v>
      </c>
      <c r="G19" s="54">
        <v>35.33</v>
      </c>
      <c r="H19" s="54">
        <f>17.5+35.33+30.08</f>
        <v>82.91</v>
      </c>
      <c r="I19" s="54">
        <v>899.85</v>
      </c>
      <c r="J19" s="54">
        <v>89.98</v>
      </c>
      <c r="K19" s="54">
        <v>133</v>
      </c>
      <c r="L19" s="54">
        <v>13.3</v>
      </c>
    </row>
    <row r="20" spans="1:12" ht="9" customHeight="1">
      <c r="A20" s="28"/>
      <c r="B20" s="9"/>
      <c r="D20" s="17"/>
      <c r="E20" s="17"/>
      <c r="F20" s="17"/>
      <c r="G20" s="17"/>
      <c r="H20" s="17"/>
      <c r="I20" s="17"/>
      <c r="J20" s="17"/>
      <c r="K20" s="17"/>
      <c r="L20" s="17"/>
    </row>
    <row r="21" spans="1:12" s="55" customFormat="1" ht="42" customHeight="1">
      <c r="A21" s="50" t="s">
        <v>241</v>
      </c>
      <c r="B21" s="46" t="s">
        <v>186</v>
      </c>
      <c r="C21" s="46"/>
      <c r="D21" s="53">
        <v>298.5</v>
      </c>
      <c r="E21" s="53">
        <v>19.85</v>
      </c>
      <c r="F21" s="54">
        <f>39.67*0.2</f>
        <v>7.934000000000001</v>
      </c>
      <c r="G21" s="54">
        <f>209.19*0.2</f>
        <v>41.838</v>
      </c>
      <c r="H21" s="54">
        <f>41.838+7.934+2.36+2.02+2.28</f>
        <v>56.432</v>
      </c>
      <c r="I21" s="54">
        <v>575.99</v>
      </c>
      <c r="J21" s="54">
        <f>I21*0.2</f>
        <v>115.19800000000001</v>
      </c>
      <c r="K21" s="54">
        <v>354.95</v>
      </c>
      <c r="L21" s="54">
        <f>K21*0.2</f>
        <v>70.99</v>
      </c>
    </row>
    <row r="22" spans="1:12" ht="9.75" customHeight="1">
      <c r="A22" s="28"/>
      <c r="D22" s="19"/>
      <c r="E22" s="19"/>
      <c r="F22" s="17"/>
      <c r="G22" s="17"/>
      <c r="H22" s="17"/>
      <c r="I22" s="17"/>
      <c r="J22" s="17"/>
      <c r="K22" s="17"/>
      <c r="L22" s="17"/>
    </row>
    <row r="23" spans="1:12" s="55" customFormat="1" ht="66" customHeight="1">
      <c r="A23" s="50" t="s">
        <v>177</v>
      </c>
      <c r="B23" s="46" t="s">
        <v>176</v>
      </c>
      <c r="C23" s="46"/>
      <c r="D23" s="53">
        <v>638.8</v>
      </c>
      <c r="E23" s="53">
        <v>53.88</v>
      </c>
      <c r="F23" s="54">
        <f>229.81*0.1</f>
        <v>22.981</v>
      </c>
      <c r="G23" s="54">
        <f>255.71*0.1</f>
        <v>25.571</v>
      </c>
      <c r="H23" s="54">
        <f>+G23+F23+4.54+5.77+17.11</f>
        <v>75.97200000000001</v>
      </c>
      <c r="I23" s="54">
        <v>1359.35</v>
      </c>
      <c r="J23" s="54">
        <f>I23*0.1</f>
        <v>135.935</v>
      </c>
      <c r="K23" s="54">
        <v>259.25</v>
      </c>
      <c r="L23" s="54">
        <f>K23*0.1</f>
        <v>25.925</v>
      </c>
    </row>
    <row r="24" spans="1:12" ht="9.75" customHeight="1">
      <c r="A24" s="28"/>
      <c r="D24" s="17"/>
      <c r="E24" s="17"/>
      <c r="F24" s="17"/>
      <c r="G24" s="17"/>
      <c r="H24" s="17"/>
      <c r="I24" s="17"/>
      <c r="J24" s="17"/>
      <c r="K24" s="17"/>
      <c r="L24" s="17"/>
    </row>
    <row r="25" spans="1:12" s="55" customFormat="1" ht="30.75" customHeight="1">
      <c r="A25" s="50" t="s">
        <v>242</v>
      </c>
      <c r="B25" s="46" t="s">
        <v>178</v>
      </c>
      <c r="C25" s="46"/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4449</v>
      </c>
      <c r="J25" s="54">
        <v>222</v>
      </c>
      <c r="K25" s="54">
        <v>290</v>
      </c>
      <c r="L25" s="54">
        <v>14.5</v>
      </c>
    </row>
    <row r="26" spans="1:12" ht="11.25" customHeight="1">
      <c r="A26" s="7"/>
      <c r="B26" s="9"/>
      <c r="D26" s="17"/>
      <c r="E26" s="17"/>
      <c r="F26" s="17"/>
      <c r="G26" s="17"/>
      <c r="H26" s="17"/>
      <c r="I26" s="17"/>
      <c r="J26" s="17"/>
      <c r="K26" s="17"/>
      <c r="L26" s="17"/>
    </row>
    <row r="27" spans="1:12" ht="15.75">
      <c r="A27" s="10"/>
      <c r="B27" s="11" t="s">
        <v>35</v>
      </c>
      <c r="C27" s="12"/>
      <c r="D27" s="22">
        <f aca="true" t="shared" si="1" ref="D27:L27">SUBTOTAL(9,D19:D26)</f>
        <v>964.8</v>
      </c>
      <c r="E27" s="22">
        <f t="shared" si="1"/>
        <v>101.23</v>
      </c>
      <c r="F27" s="22">
        <f t="shared" si="1"/>
        <v>60.995</v>
      </c>
      <c r="G27" s="22">
        <f t="shared" si="1"/>
        <v>102.739</v>
      </c>
      <c r="H27" s="22">
        <f t="shared" si="1"/>
        <v>215.314</v>
      </c>
      <c r="I27" s="22">
        <f t="shared" si="1"/>
        <v>7284.1900000000005</v>
      </c>
      <c r="J27" s="22">
        <f t="shared" si="1"/>
        <v>563.113</v>
      </c>
      <c r="K27" s="22">
        <f t="shared" si="1"/>
        <v>1037.2</v>
      </c>
      <c r="L27" s="22">
        <f t="shared" si="1"/>
        <v>124.71499999999999</v>
      </c>
    </row>
    <row r="28" spans="1:12" ht="15.75">
      <c r="A28" s="10"/>
      <c r="B28" s="11"/>
      <c r="C28" s="12"/>
      <c r="D28" s="17"/>
      <c r="E28" s="17"/>
      <c r="F28" s="17"/>
      <c r="G28" s="17"/>
      <c r="H28" s="17"/>
      <c r="I28" s="17"/>
      <c r="J28" s="17"/>
      <c r="K28" s="17"/>
      <c r="L28" s="17"/>
    </row>
    <row r="29" spans="1:12" ht="15.75">
      <c r="A29" s="10"/>
      <c r="B29" s="8" t="s">
        <v>38</v>
      </c>
      <c r="C29" s="12"/>
      <c r="D29" s="17"/>
      <c r="E29" s="17"/>
      <c r="F29" s="17"/>
      <c r="G29" s="17"/>
      <c r="H29" s="17"/>
      <c r="I29" s="17"/>
      <c r="J29" s="17"/>
      <c r="K29" s="17"/>
      <c r="L29" s="17"/>
    </row>
    <row r="30" spans="1:12" s="55" customFormat="1" ht="30.75" customHeight="1">
      <c r="A30" s="71" t="s">
        <v>243</v>
      </c>
      <c r="B30" s="65" t="s">
        <v>187</v>
      </c>
      <c r="C30" s="65"/>
      <c r="D30" s="54">
        <v>200</v>
      </c>
      <c r="E30" s="54">
        <v>20</v>
      </c>
      <c r="F30" s="54">
        <v>42.5</v>
      </c>
      <c r="G30" s="54">
        <v>32.5</v>
      </c>
      <c r="H30" s="54">
        <f>+F30+G30+75+16</f>
        <v>166</v>
      </c>
      <c r="I30" s="54">
        <v>10006</v>
      </c>
      <c r="J30" s="54">
        <v>1000.6</v>
      </c>
      <c r="K30" s="54">
        <v>1600</v>
      </c>
      <c r="L30" s="54">
        <v>160</v>
      </c>
    </row>
    <row r="31" spans="1:12" ht="15.75">
      <c r="A31" s="10"/>
      <c r="B31" s="44"/>
      <c r="C31" s="44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3.5" customHeight="1">
      <c r="A32" s="7"/>
      <c r="B32" s="13" t="s">
        <v>39</v>
      </c>
      <c r="D32" s="17"/>
      <c r="E32" s="17"/>
      <c r="F32" s="17"/>
      <c r="G32" s="17"/>
      <c r="H32" s="17"/>
      <c r="I32" s="17"/>
      <c r="J32" s="17"/>
      <c r="K32" s="17"/>
      <c r="L32" s="17"/>
    </row>
    <row r="33" spans="1:12" s="55" customFormat="1" ht="36.75" customHeight="1">
      <c r="A33" s="50" t="s">
        <v>244</v>
      </c>
      <c r="B33" s="56" t="s">
        <v>188</v>
      </c>
      <c r="C33" s="56"/>
      <c r="D33" s="54">
        <v>55</v>
      </c>
      <c r="E33" s="54">
        <v>27.5</v>
      </c>
      <c r="F33" s="54">
        <v>2</v>
      </c>
      <c r="G33" s="54">
        <v>3</v>
      </c>
      <c r="H33" s="54">
        <f>3.65+9.81+1.5+5</f>
        <v>19.96</v>
      </c>
      <c r="I33" s="54">
        <v>124</v>
      </c>
      <c r="J33" s="54">
        <v>30</v>
      </c>
      <c r="K33" s="54">
        <v>25.74</v>
      </c>
      <c r="L33" s="54">
        <v>6</v>
      </c>
    </row>
    <row r="34" spans="1:12" ht="15">
      <c r="A34" s="7"/>
      <c r="D34" s="17"/>
      <c r="E34" s="17"/>
      <c r="F34" s="17"/>
      <c r="G34" s="17"/>
      <c r="H34" s="17"/>
      <c r="I34" s="17"/>
      <c r="J34" s="17"/>
      <c r="K34" s="17"/>
      <c r="L34" s="17"/>
    </row>
    <row r="35" spans="1:12" s="55" customFormat="1" ht="51" customHeight="1">
      <c r="A35" s="50" t="s">
        <v>41</v>
      </c>
      <c r="B35" s="46" t="s">
        <v>189</v>
      </c>
      <c r="C35" s="46"/>
      <c r="D35" s="54">
        <v>85</v>
      </c>
      <c r="E35" s="54">
        <v>25.5</v>
      </c>
      <c r="F35" s="54">
        <v>5</v>
      </c>
      <c r="G35" s="54">
        <v>6</v>
      </c>
      <c r="H35" s="54">
        <f>11+1.5+9.81+3.65</f>
        <v>25.96</v>
      </c>
      <c r="I35" s="54">
        <v>220.75</v>
      </c>
      <c r="J35" s="54">
        <f>220.75*0.3</f>
        <v>66.225</v>
      </c>
      <c r="K35" s="54">
        <v>79.26</v>
      </c>
      <c r="L35" s="54">
        <f>79.26*0.3</f>
        <v>23.778000000000002</v>
      </c>
    </row>
    <row r="36" spans="1:12" ht="15">
      <c r="A36" s="7"/>
      <c r="D36" s="17"/>
      <c r="E36" s="17"/>
      <c r="F36" s="17"/>
      <c r="G36" s="17"/>
      <c r="H36" s="17"/>
      <c r="I36" s="17"/>
      <c r="J36" s="17"/>
      <c r="K36" s="17"/>
      <c r="L36" s="17"/>
    </row>
    <row r="37" spans="1:12" ht="15" customHeight="1">
      <c r="A37" s="7" t="s">
        <v>245</v>
      </c>
      <c r="B37" s="1" t="s">
        <v>40</v>
      </c>
      <c r="D37" s="17">
        <v>200</v>
      </c>
      <c r="E37" s="17">
        <v>10</v>
      </c>
      <c r="F37" s="17">
        <v>1</v>
      </c>
      <c r="G37" s="17">
        <v>1</v>
      </c>
      <c r="H37" s="17">
        <f>2+3.17+1.56+1.4</f>
        <v>8.13</v>
      </c>
      <c r="I37" s="17">
        <v>86.05</v>
      </c>
      <c r="J37" s="17">
        <v>8.6</v>
      </c>
      <c r="K37" s="17">
        <v>17.22</v>
      </c>
      <c r="L37" s="17">
        <v>1.7</v>
      </c>
    </row>
    <row r="38" spans="1:12" ht="15">
      <c r="A38" s="7"/>
      <c r="D38" s="17"/>
      <c r="E38" s="17"/>
      <c r="F38" s="17"/>
      <c r="G38" s="17"/>
      <c r="H38" s="17"/>
      <c r="I38" s="17"/>
      <c r="J38" s="17"/>
      <c r="K38" s="17"/>
      <c r="L38" s="17"/>
    </row>
    <row r="39" spans="1:12" ht="15">
      <c r="A39" s="7" t="s">
        <v>246</v>
      </c>
      <c r="B39" s="1" t="s">
        <v>190</v>
      </c>
      <c r="D39" s="17">
        <v>70</v>
      </c>
      <c r="E39" s="17">
        <v>21.01</v>
      </c>
      <c r="F39" s="17">
        <v>1.5</v>
      </c>
      <c r="G39" s="17">
        <v>2</v>
      </c>
      <c r="H39" s="17">
        <f>3.5+4.05+4.35+1.8</f>
        <v>13.7</v>
      </c>
      <c r="I39" s="17">
        <v>185</v>
      </c>
      <c r="J39" s="17">
        <v>45</v>
      </c>
      <c r="K39" s="17">
        <v>37</v>
      </c>
      <c r="L39" s="17">
        <v>9</v>
      </c>
    </row>
    <row r="40" spans="1:12" ht="15">
      <c r="A40" s="7"/>
      <c r="D40" s="17"/>
      <c r="E40" s="17"/>
      <c r="F40" s="17"/>
      <c r="G40" s="17"/>
      <c r="H40" s="17"/>
      <c r="I40" s="17"/>
      <c r="J40" s="17"/>
      <c r="K40" s="17"/>
      <c r="L40" s="17"/>
    </row>
    <row r="41" spans="1:12" ht="31.5" customHeight="1">
      <c r="A41" s="50" t="s">
        <v>44</v>
      </c>
      <c r="B41" s="47" t="s">
        <v>191</v>
      </c>
      <c r="C41" s="47"/>
      <c r="D41" s="17">
        <v>400</v>
      </c>
      <c r="E41" s="17">
        <v>150</v>
      </c>
      <c r="F41" s="17">
        <v>200</v>
      </c>
      <c r="G41" s="17">
        <v>300</v>
      </c>
      <c r="H41" s="17">
        <f>500+4.05+4.35+4.35</f>
        <v>512.75</v>
      </c>
      <c r="I41" s="17">
        <v>6400</v>
      </c>
      <c r="J41" s="17">
        <f>6400*0.3</f>
        <v>1920</v>
      </c>
      <c r="K41" s="17">
        <v>1215</v>
      </c>
      <c r="L41" s="17">
        <v>360</v>
      </c>
    </row>
    <row r="42" spans="1:12" ht="15">
      <c r="A42" s="7"/>
      <c r="D42" s="17"/>
      <c r="E42" s="17"/>
      <c r="F42" s="17"/>
      <c r="G42" s="17"/>
      <c r="H42" s="17"/>
      <c r="I42" s="17"/>
      <c r="J42" s="17"/>
      <c r="K42" s="17"/>
      <c r="L42" s="17"/>
    </row>
    <row r="43" spans="1:12" ht="15.75">
      <c r="A43" s="10"/>
      <c r="B43" s="11" t="s">
        <v>35</v>
      </c>
      <c r="C43" s="12"/>
      <c r="D43" s="22">
        <f aca="true" t="shared" si="2" ref="D43:L43">SUBTOTAL(9,D33:D42)</f>
        <v>810</v>
      </c>
      <c r="E43" s="22">
        <f t="shared" si="2"/>
        <v>234.01</v>
      </c>
      <c r="F43" s="22">
        <f t="shared" si="2"/>
        <v>209.5</v>
      </c>
      <c r="G43" s="22">
        <f t="shared" si="2"/>
        <v>312</v>
      </c>
      <c r="H43" s="22">
        <f t="shared" si="2"/>
        <v>580.5</v>
      </c>
      <c r="I43" s="22">
        <f t="shared" si="2"/>
        <v>7015.8</v>
      </c>
      <c r="J43" s="22">
        <f t="shared" si="2"/>
        <v>2069.825</v>
      </c>
      <c r="K43" s="22">
        <f t="shared" si="2"/>
        <v>1374.22</v>
      </c>
      <c r="L43" s="22">
        <f t="shared" si="2"/>
        <v>400.478</v>
      </c>
    </row>
    <row r="44" spans="1:12" ht="15">
      <c r="A44" s="7"/>
      <c r="D44" s="17"/>
      <c r="E44" s="17"/>
      <c r="F44" s="17"/>
      <c r="G44" s="17"/>
      <c r="H44" s="17"/>
      <c r="I44" s="17"/>
      <c r="J44" s="17"/>
      <c r="K44" s="17"/>
      <c r="L44" s="17"/>
    </row>
    <row r="45" spans="1:12" ht="15.75">
      <c r="A45" s="7"/>
      <c r="B45" s="13" t="s">
        <v>42</v>
      </c>
      <c r="D45" s="17"/>
      <c r="E45" s="17"/>
      <c r="F45" s="17"/>
      <c r="G45" s="17"/>
      <c r="H45" s="17"/>
      <c r="I45" s="17"/>
      <c r="J45" s="17"/>
      <c r="K45" s="17"/>
      <c r="L45" s="17"/>
    </row>
    <row r="46" spans="1:12" ht="31.5" customHeight="1">
      <c r="A46" s="50" t="s">
        <v>46</v>
      </c>
      <c r="B46" s="48" t="s">
        <v>192</v>
      </c>
      <c r="C46" s="48"/>
      <c r="D46" s="21">
        <v>2025</v>
      </c>
      <c r="E46" s="19">
        <v>430.5</v>
      </c>
      <c r="F46" s="17">
        <f>677.3*0.2</f>
        <v>135.46</v>
      </c>
      <c r="G46" s="17">
        <v>200</v>
      </c>
      <c r="H46" s="17">
        <f>135.46+200+99.92+100.59+176.98</f>
        <v>712.95</v>
      </c>
      <c r="I46" s="17">
        <v>14028</v>
      </c>
      <c r="J46" s="17">
        <f>14028*0.2</f>
        <v>2805.6000000000004</v>
      </c>
      <c r="K46" s="17">
        <v>2017.24</v>
      </c>
      <c r="L46" s="17">
        <f>2017.24*0.2</f>
        <v>403.44800000000004</v>
      </c>
    </row>
    <row r="47" spans="1:12" ht="15">
      <c r="A47" s="7"/>
      <c r="D47" s="17"/>
      <c r="E47" s="17"/>
      <c r="F47" s="17"/>
      <c r="G47" s="17"/>
      <c r="H47" s="17"/>
      <c r="I47" s="17"/>
      <c r="J47" s="17"/>
      <c r="K47" s="17"/>
      <c r="L47" s="17"/>
    </row>
    <row r="48" spans="1:12" ht="24.75" customHeight="1">
      <c r="A48" s="7"/>
      <c r="B48" s="13" t="s">
        <v>43</v>
      </c>
      <c r="D48" s="17"/>
      <c r="E48" s="17"/>
      <c r="F48" s="17"/>
      <c r="G48" s="17"/>
      <c r="H48" s="17"/>
      <c r="I48" s="17"/>
      <c r="J48" s="17"/>
      <c r="K48" s="17"/>
      <c r="L48" s="17"/>
    </row>
    <row r="49" spans="1:12" ht="25.5" customHeight="1">
      <c r="A49" s="7" t="s">
        <v>48</v>
      </c>
      <c r="B49" s="57" t="s">
        <v>193</v>
      </c>
      <c r="C49" s="57"/>
      <c r="D49" s="19">
        <v>4</v>
      </c>
      <c r="E49" s="19">
        <v>0.6</v>
      </c>
      <c r="F49" s="17">
        <v>0</v>
      </c>
      <c r="G49" s="17">
        <v>1.24</v>
      </c>
      <c r="H49" s="17">
        <v>1.69</v>
      </c>
      <c r="I49" s="17">
        <v>110</v>
      </c>
      <c r="J49" s="17">
        <v>11</v>
      </c>
      <c r="K49" s="17">
        <v>30</v>
      </c>
      <c r="L49" s="17">
        <v>3</v>
      </c>
    </row>
    <row r="50" spans="1:12" ht="15">
      <c r="A50" s="7"/>
      <c r="D50" s="17"/>
      <c r="E50" s="17"/>
      <c r="F50" s="17"/>
      <c r="G50" s="17"/>
      <c r="H50" s="17"/>
      <c r="I50" s="17"/>
      <c r="J50" s="17"/>
      <c r="K50" s="17"/>
      <c r="L50" s="17"/>
    </row>
    <row r="51" spans="1:12" ht="15.75">
      <c r="A51" s="7"/>
      <c r="B51" s="13" t="s">
        <v>45</v>
      </c>
      <c r="D51" s="17"/>
      <c r="E51" s="17"/>
      <c r="F51" s="17"/>
      <c r="G51" s="17"/>
      <c r="H51" s="17"/>
      <c r="I51" s="17"/>
      <c r="J51" s="17"/>
      <c r="K51" s="17"/>
      <c r="L51" s="17"/>
    </row>
    <row r="52" spans="1:12" ht="15.75">
      <c r="A52" s="7"/>
      <c r="B52" s="13"/>
      <c r="D52" s="17"/>
      <c r="E52" s="17"/>
      <c r="F52" s="17"/>
      <c r="G52" s="17"/>
      <c r="H52" s="17"/>
      <c r="I52" s="17"/>
      <c r="J52" s="17"/>
      <c r="K52" s="17"/>
      <c r="L52" s="17"/>
    </row>
    <row r="53" spans="1:12" ht="15">
      <c r="A53" s="7" t="s">
        <v>50</v>
      </c>
      <c r="B53" s="15" t="s">
        <v>168</v>
      </c>
      <c r="C53" s="15"/>
      <c r="D53" s="17">
        <v>50</v>
      </c>
      <c r="E53" s="17">
        <v>50</v>
      </c>
      <c r="F53" s="17">
        <v>0</v>
      </c>
      <c r="G53" s="17">
        <v>50</v>
      </c>
      <c r="H53" s="17">
        <v>50</v>
      </c>
      <c r="I53" s="17">
        <v>650</v>
      </c>
      <c r="J53" s="17">
        <v>500</v>
      </c>
      <c r="K53" s="17">
        <v>171</v>
      </c>
      <c r="L53" s="17">
        <v>100</v>
      </c>
    </row>
    <row r="54" spans="1:12" ht="15">
      <c r="A54" s="7"/>
      <c r="B54" s="15"/>
      <c r="C54" s="15"/>
      <c r="D54" s="17"/>
      <c r="E54" s="17"/>
      <c r="F54" s="17"/>
      <c r="G54" s="17"/>
      <c r="H54" s="17"/>
      <c r="I54" s="17"/>
      <c r="J54" s="17"/>
      <c r="K54" s="17"/>
      <c r="L54" s="17"/>
    </row>
    <row r="55" spans="1:12" ht="15">
      <c r="A55" s="7" t="s">
        <v>53</v>
      </c>
      <c r="B55" s="15" t="s">
        <v>169</v>
      </c>
      <c r="C55" s="15"/>
      <c r="D55" s="17">
        <v>10</v>
      </c>
      <c r="E55" s="17">
        <v>5</v>
      </c>
      <c r="F55" s="17">
        <v>0</v>
      </c>
      <c r="G55" s="17">
        <v>5</v>
      </c>
      <c r="H55" s="17">
        <v>5</v>
      </c>
      <c r="I55" s="17">
        <v>50</v>
      </c>
      <c r="J55" s="17">
        <v>50</v>
      </c>
      <c r="K55" s="17">
        <v>10</v>
      </c>
      <c r="L55" s="17">
        <v>10</v>
      </c>
    </row>
    <row r="56" spans="1:12" ht="15">
      <c r="A56" s="7"/>
      <c r="B56" s="15"/>
      <c r="C56" s="15"/>
      <c r="D56" s="17"/>
      <c r="E56" s="17"/>
      <c r="F56" s="17"/>
      <c r="G56" s="17"/>
      <c r="H56" s="17"/>
      <c r="I56" s="17"/>
      <c r="J56" s="17"/>
      <c r="K56" s="17"/>
      <c r="L56" s="17"/>
    </row>
    <row r="57" spans="1:12" ht="15">
      <c r="A57" s="7" t="s">
        <v>55</v>
      </c>
      <c r="B57" s="46" t="s">
        <v>47</v>
      </c>
      <c r="C57" s="46"/>
      <c r="D57" s="17">
        <v>1085</v>
      </c>
      <c r="E57" s="17">
        <v>350</v>
      </c>
      <c r="F57" s="17">
        <v>20</v>
      </c>
      <c r="G57" s="17">
        <v>30</v>
      </c>
      <c r="H57" s="17">
        <v>70</v>
      </c>
      <c r="I57" s="17">
        <v>875</v>
      </c>
      <c r="J57" s="17">
        <v>175</v>
      </c>
      <c r="K57" s="17">
        <v>168</v>
      </c>
      <c r="L57" s="17">
        <v>20</v>
      </c>
    </row>
    <row r="58" spans="1:12" ht="15">
      <c r="A58" s="7"/>
      <c r="D58" s="17"/>
      <c r="E58" s="17"/>
      <c r="F58" s="17"/>
      <c r="G58" s="17"/>
      <c r="H58" s="17"/>
      <c r="I58" s="17"/>
      <c r="J58" s="17"/>
      <c r="K58" s="17"/>
      <c r="L58" s="17"/>
    </row>
    <row r="59" spans="1:12" ht="33.75" customHeight="1">
      <c r="A59" s="50" t="s">
        <v>56</v>
      </c>
      <c r="B59" s="49" t="s">
        <v>194</v>
      </c>
      <c r="C59" s="49"/>
      <c r="D59" s="17">
        <v>115</v>
      </c>
      <c r="E59" s="17">
        <v>55</v>
      </c>
      <c r="F59" s="17">
        <v>20</v>
      </c>
      <c r="G59" s="17">
        <v>20</v>
      </c>
      <c r="H59" s="17">
        <v>60</v>
      </c>
      <c r="I59" s="17">
        <v>3625</v>
      </c>
      <c r="J59" s="17">
        <v>1700</v>
      </c>
      <c r="K59" s="17">
        <v>698</v>
      </c>
      <c r="L59" s="17">
        <v>350</v>
      </c>
    </row>
    <row r="60" spans="1:12" ht="15">
      <c r="A60" s="7"/>
      <c r="D60" s="17"/>
      <c r="E60" s="17"/>
      <c r="F60" s="17"/>
      <c r="G60" s="17"/>
      <c r="H60" s="17"/>
      <c r="I60" s="17"/>
      <c r="J60" s="17"/>
      <c r="K60" s="17"/>
      <c r="L60" s="17"/>
    </row>
    <row r="61" spans="1:12" ht="15">
      <c r="A61" s="7" t="s">
        <v>58</v>
      </c>
      <c r="B61" s="51" t="s">
        <v>166</v>
      </c>
      <c r="C61" s="51"/>
      <c r="D61" s="17">
        <v>0</v>
      </c>
      <c r="E61" s="17">
        <v>0</v>
      </c>
      <c r="F61" s="17">
        <v>90</v>
      </c>
      <c r="G61" s="17">
        <v>60</v>
      </c>
      <c r="H61" s="17">
        <v>150</v>
      </c>
      <c r="I61" s="17">
        <v>500</v>
      </c>
      <c r="J61" s="17">
        <v>100</v>
      </c>
      <c r="K61" s="17">
        <v>100</v>
      </c>
      <c r="L61" s="17">
        <v>50</v>
      </c>
    </row>
    <row r="62" spans="1:12" ht="15">
      <c r="A62" s="7"/>
      <c r="D62" s="17"/>
      <c r="E62" s="17"/>
      <c r="F62" s="17"/>
      <c r="G62" s="17"/>
      <c r="H62" s="17"/>
      <c r="I62" s="17"/>
      <c r="J62" s="17"/>
      <c r="K62" s="17"/>
      <c r="L62" s="17"/>
    </row>
    <row r="63" spans="1:12" ht="15.75">
      <c r="A63" s="10"/>
      <c r="B63" s="11" t="s">
        <v>35</v>
      </c>
      <c r="C63" s="12"/>
      <c r="D63" s="24">
        <f aca="true" t="shared" si="3" ref="D63:L63">SUBTOTAL(9,D53:D62)</f>
        <v>1260</v>
      </c>
      <c r="E63" s="24">
        <f t="shared" si="3"/>
        <v>460</v>
      </c>
      <c r="F63" s="24">
        <f t="shared" si="3"/>
        <v>130</v>
      </c>
      <c r="G63" s="24">
        <f t="shared" si="3"/>
        <v>165</v>
      </c>
      <c r="H63" s="24">
        <f t="shared" si="3"/>
        <v>335</v>
      </c>
      <c r="I63" s="24">
        <f t="shared" si="3"/>
        <v>5700</v>
      </c>
      <c r="J63" s="24">
        <f t="shared" si="3"/>
        <v>2525</v>
      </c>
      <c r="K63" s="24">
        <f t="shared" si="3"/>
        <v>1147</v>
      </c>
      <c r="L63" s="24">
        <f t="shared" si="3"/>
        <v>530</v>
      </c>
    </row>
    <row r="64" spans="1:12" ht="15">
      <c r="A64" s="7"/>
      <c r="D64" s="17"/>
      <c r="E64" s="17"/>
      <c r="F64" s="17"/>
      <c r="G64" s="17"/>
      <c r="H64" s="17"/>
      <c r="I64" s="17"/>
      <c r="J64" s="17"/>
      <c r="K64" s="17"/>
      <c r="L64" s="17"/>
    </row>
    <row r="65" spans="1:12" ht="15.75">
      <c r="A65" s="7"/>
      <c r="B65" s="13" t="s">
        <v>49</v>
      </c>
      <c r="D65" s="17"/>
      <c r="E65" s="17"/>
      <c r="F65" s="17"/>
      <c r="G65" s="17"/>
      <c r="H65" s="17"/>
      <c r="I65" s="17"/>
      <c r="J65" s="17"/>
      <c r="K65" s="17"/>
      <c r="L65" s="17"/>
    </row>
    <row r="66" spans="1:12" ht="21.75" customHeight="1">
      <c r="A66" s="7" t="s">
        <v>60</v>
      </c>
      <c r="B66" s="1" t="s">
        <v>51</v>
      </c>
      <c r="D66" s="19">
        <v>3</v>
      </c>
      <c r="E66" s="19">
        <v>0.3</v>
      </c>
      <c r="F66" s="19">
        <v>1.49</v>
      </c>
      <c r="G66" s="19">
        <v>1.496</v>
      </c>
      <c r="H66" s="17">
        <f>1.49+1.5+0.46+1.5+1.49</f>
        <v>6.44</v>
      </c>
      <c r="I66" s="17">
        <v>788</v>
      </c>
      <c r="J66" s="17">
        <v>78</v>
      </c>
      <c r="K66" s="17">
        <v>175</v>
      </c>
      <c r="L66" s="17">
        <v>17.5</v>
      </c>
    </row>
    <row r="67" spans="1:12" ht="15">
      <c r="A67" s="7"/>
      <c r="D67" s="17"/>
      <c r="E67" s="17"/>
      <c r="F67" s="17"/>
      <c r="G67" s="17"/>
      <c r="H67" s="17"/>
      <c r="I67" s="17"/>
      <c r="J67" s="17"/>
      <c r="K67" s="17"/>
      <c r="L67" s="17"/>
    </row>
    <row r="68" spans="1:12" ht="15.75">
      <c r="A68" s="7"/>
      <c r="B68" s="13" t="s">
        <v>52</v>
      </c>
      <c r="D68" s="17"/>
      <c r="E68" s="17"/>
      <c r="F68" s="17"/>
      <c r="G68" s="17"/>
      <c r="H68" s="17"/>
      <c r="I68" s="17"/>
      <c r="J68" s="17"/>
      <c r="K68" s="17"/>
      <c r="L68" s="17"/>
    </row>
    <row r="69" spans="1:12" ht="21" customHeight="1">
      <c r="A69" s="7" t="s">
        <v>62</v>
      </c>
      <c r="B69" s="1" t="s">
        <v>54</v>
      </c>
      <c r="D69" s="17">
        <v>500</v>
      </c>
      <c r="E69" s="17">
        <v>100</v>
      </c>
      <c r="F69" s="17">
        <v>80</v>
      </c>
      <c r="G69" s="17">
        <v>56.16</v>
      </c>
      <c r="H69" s="17">
        <f>17.32+14.55+16.48+80+56.16</f>
        <v>184.51</v>
      </c>
      <c r="I69" s="17">
        <v>1000</v>
      </c>
      <c r="J69" s="17">
        <v>400</v>
      </c>
      <c r="K69" s="17">
        <v>200</v>
      </c>
      <c r="L69" s="17">
        <v>80</v>
      </c>
    </row>
    <row r="70" spans="1:12" ht="15">
      <c r="A70" s="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5">
      <c r="A71" s="7" t="s">
        <v>64</v>
      </c>
      <c r="B71" s="52" t="s">
        <v>195</v>
      </c>
      <c r="C71" s="52"/>
      <c r="D71" s="17">
        <v>1000</v>
      </c>
      <c r="E71" s="17">
        <v>100</v>
      </c>
      <c r="F71" s="17">
        <v>40.6</v>
      </c>
      <c r="G71" s="17">
        <v>40</v>
      </c>
      <c r="H71" s="17">
        <f>21+22+30.51+40.6+40</f>
        <v>154.11</v>
      </c>
      <c r="I71" s="17">
        <v>2000</v>
      </c>
      <c r="J71" s="17">
        <v>200</v>
      </c>
      <c r="K71" s="17">
        <v>450</v>
      </c>
      <c r="L71" s="17">
        <v>45</v>
      </c>
    </row>
    <row r="72" spans="1:12" ht="15">
      <c r="A72" s="7"/>
      <c r="D72" s="17"/>
      <c r="E72" s="17"/>
      <c r="F72" s="17"/>
      <c r="G72" s="17"/>
      <c r="H72" s="17"/>
      <c r="I72" s="17"/>
      <c r="J72" s="17"/>
      <c r="K72" s="17"/>
      <c r="L72" s="17"/>
    </row>
    <row r="73" spans="1:12" ht="15">
      <c r="A73" s="7" t="s">
        <v>66</v>
      </c>
      <c r="B73" s="1" t="s">
        <v>57</v>
      </c>
      <c r="D73" s="17">
        <v>150</v>
      </c>
      <c r="E73" s="17">
        <v>45</v>
      </c>
      <c r="F73" s="17">
        <v>12</v>
      </c>
      <c r="G73" s="17">
        <v>9.45</v>
      </c>
      <c r="H73" s="17">
        <f>12+9.45+1.2+1.45+1.41</f>
        <v>25.509999999999998</v>
      </c>
      <c r="I73" s="17">
        <v>650</v>
      </c>
      <c r="J73" s="17">
        <v>195</v>
      </c>
      <c r="K73" s="17">
        <v>100</v>
      </c>
      <c r="L73" s="17">
        <v>30</v>
      </c>
    </row>
    <row r="74" spans="1:12" ht="15">
      <c r="A74" s="7"/>
      <c r="D74" s="17"/>
      <c r="E74" s="17"/>
      <c r="F74" s="17"/>
      <c r="G74" s="17"/>
      <c r="H74" s="17"/>
      <c r="I74" s="17"/>
      <c r="J74" s="17"/>
      <c r="K74" s="17"/>
      <c r="L74" s="17"/>
    </row>
    <row r="75" spans="1:12" ht="15">
      <c r="A75" s="7" t="s">
        <v>69</v>
      </c>
      <c r="B75" s="1" t="s">
        <v>59</v>
      </c>
      <c r="D75" s="17">
        <v>200</v>
      </c>
      <c r="E75" s="17">
        <v>40</v>
      </c>
      <c r="F75" s="17">
        <v>8</v>
      </c>
      <c r="G75" s="17">
        <v>10</v>
      </c>
      <c r="H75" s="17">
        <f>9.99+15.44+14.73+18</f>
        <v>58.16</v>
      </c>
      <c r="I75" s="17">
        <v>1000</v>
      </c>
      <c r="J75" s="17">
        <v>50</v>
      </c>
      <c r="K75" s="17">
        <v>200</v>
      </c>
      <c r="L75" s="17">
        <v>10</v>
      </c>
    </row>
    <row r="76" spans="1:12" ht="15">
      <c r="A76" s="7"/>
      <c r="D76" s="17"/>
      <c r="E76" s="17"/>
      <c r="F76" s="17"/>
      <c r="G76" s="17"/>
      <c r="H76" s="17"/>
      <c r="I76" s="17"/>
      <c r="J76" s="17"/>
      <c r="K76" s="17"/>
      <c r="L76" s="17"/>
    </row>
    <row r="77" spans="1:12" ht="15">
      <c r="A77" s="7" t="s">
        <v>71</v>
      </c>
      <c r="B77" s="1" t="s">
        <v>61</v>
      </c>
      <c r="D77" s="19">
        <v>90</v>
      </c>
      <c r="E77" s="19">
        <v>34.2</v>
      </c>
      <c r="F77" s="19">
        <v>6.02</v>
      </c>
      <c r="G77" s="19">
        <v>5.25</v>
      </c>
      <c r="H77" s="17">
        <f>5.25+6.02+7.95+8.82+6.92</f>
        <v>34.96</v>
      </c>
      <c r="I77" s="23">
        <v>450</v>
      </c>
      <c r="J77" s="23">
        <v>150</v>
      </c>
      <c r="K77" s="23">
        <v>50</v>
      </c>
      <c r="L77" s="23">
        <v>16</v>
      </c>
    </row>
    <row r="78" spans="1:12" ht="15">
      <c r="A78" s="7"/>
      <c r="D78" s="17"/>
      <c r="E78" s="17"/>
      <c r="F78" s="17"/>
      <c r="G78" s="17"/>
      <c r="H78" s="17"/>
      <c r="I78" s="17"/>
      <c r="J78" s="17"/>
      <c r="K78" s="17"/>
      <c r="L78" s="17"/>
    </row>
    <row r="79" spans="1:12" ht="15">
      <c r="A79" s="7" t="s">
        <v>72</v>
      </c>
      <c r="B79" s="1" t="s">
        <v>63</v>
      </c>
      <c r="D79" s="17">
        <v>200</v>
      </c>
      <c r="E79" s="17">
        <v>84</v>
      </c>
      <c r="F79" s="17">
        <v>89.3</v>
      </c>
      <c r="G79" s="17">
        <v>65.82</v>
      </c>
      <c r="H79" s="17">
        <v>197</v>
      </c>
      <c r="I79" s="17">
        <v>1800</v>
      </c>
      <c r="J79" s="17">
        <v>840</v>
      </c>
      <c r="K79" s="17">
        <v>300</v>
      </c>
      <c r="L79" s="17">
        <v>126</v>
      </c>
    </row>
    <row r="80" spans="1:12" ht="15">
      <c r="A80" s="7"/>
      <c r="D80" s="17"/>
      <c r="E80" s="17"/>
      <c r="F80" s="17"/>
      <c r="G80" s="17"/>
      <c r="H80" s="17"/>
      <c r="I80" s="17"/>
      <c r="J80" s="17"/>
      <c r="K80" s="17"/>
      <c r="L80" s="17"/>
    </row>
    <row r="81" spans="1:12" ht="36" customHeight="1">
      <c r="A81" s="50" t="s">
        <v>73</v>
      </c>
      <c r="B81" s="46" t="s">
        <v>196</v>
      </c>
      <c r="C81" s="46"/>
      <c r="D81" s="17">
        <v>50</v>
      </c>
      <c r="E81" s="17">
        <v>25</v>
      </c>
      <c r="F81" s="17">
        <v>230.86</v>
      </c>
      <c r="G81" s="17">
        <v>190</v>
      </c>
      <c r="H81" s="17">
        <v>548.9</v>
      </c>
      <c r="I81" s="17">
        <v>4500</v>
      </c>
      <c r="J81" s="17">
        <v>500</v>
      </c>
      <c r="K81" s="17">
        <v>500</v>
      </c>
      <c r="L81" s="17">
        <v>55</v>
      </c>
    </row>
    <row r="82" spans="1:12" ht="15">
      <c r="A82" s="7"/>
      <c r="B82" s="14"/>
      <c r="D82" s="17"/>
      <c r="E82" s="17"/>
      <c r="F82" s="17"/>
      <c r="G82" s="17"/>
      <c r="H82" s="17"/>
      <c r="I82" s="17"/>
      <c r="J82" s="17"/>
      <c r="K82" s="17"/>
      <c r="L82" s="17"/>
    </row>
    <row r="83" spans="1:12" ht="15.75">
      <c r="A83" s="10"/>
      <c r="B83" s="11" t="s">
        <v>35</v>
      </c>
      <c r="C83" s="12"/>
      <c r="D83" s="24">
        <f aca="true" t="shared" si="4" ref="D83:L83">SUBTOTAL(9,D69:D82)</f>
        <v>2190</v>
      </c>
      <c r="E83" s="24">
        <f t="shared" si="4"/>
        <v>428.2</v>
      </c>
      <c r="F83" s="24">
        <f t="shared" si="4"/>
        <v>466.78000000000003</v>
      </c>
      <c r="G83" s="24">
        <f t="shared" si="4"/>
        <v>376.68</v>
      </c>
      <c r="H83" s="24">
        <f t="shared" si="4"/>
        <v>1203.15</v>
      </c>
      <c r="I83" s="24">
        <f t="shared" si="4"/>
        <v>11400</v>
      </c>
      <c r="J83" s="24">
        <f t="shared" si="4"/>
        <v>2335</v>
      </c>
      <c r="K83" s="24">
        <f t="shared" si="4"/>
        <v>1800</v>
      </c>
      <c r="L83" s="24">
        <f t="shared" si="4"/>
        <v>362</v>
      </c>
    </row>
    <row r="84" spans="1:12" ht="15">
      <c r="A84" s="7"/>
      <c r="D84" s="17"/>
      <c r="E84" s="17"/>
      <c r="F84" s="17"/>
      <c r="G84" s="17"/>
      <c r="H84" s="17"/>
      <c r="I84" s="17"/>
      <c r="J84" s="17"/>
      <c r="K84" s="17"/>
      <c r="L84" s="17"/>
    </row>
    <row r="85" spans="1:12" ht="15.75">
      <c r="A85" s="7"/>
      <c r="B85" s="13" t="s">
        <v>65</v>
      </c>
      <c r="D85" s="17"/>
      <c r="E85" s="17"/>
      <c r="F85" s="17"/>
      <c r="G85" s="17"/>
      <c r="H85" s="17"/>
      <c r="I85" s="17"/>
      <c r="J85" s="17"/>
      <c r="K85" s="17"/>
      <c r="L85" s="17"/>
    </row>
    <row r="86" spans="1:12" ht="15">
      <c r="A86" s="7" t="s">
        <v>74</v>
      </c>
      <c r="B86" s="1" t="s">
        <v>67</v>
      </c>
      <c r="D86" s="19">
        <v>250</v>
      </c>
      <c r="E86" s="19">
        <v>75</v>
      </c>
      <c r="F86" s="17">
        <f>140*0.3</f>
        <v>42</v>
      </c>
      <c r="G86" s="17">
        <v>42</v>
      </c>
      <c r="H86" s="17">
        <f>42+42+24.65+34.2+44.25</f>
        <v>187.10000000000002</v>
      </c>
      <c r="I86" s="17">
        <v>1000</v>
      </c>
      <c r="J86" s="17">
        <v>300</v>
      </c>
      <c r="K86" s="17">
        <v>274</v>
      </c>
      <c r="L86" s="17">
        <v>90</v>
      </c>
    </row>
    <row r="87" spans="1:12" ht="15">
      <c r="A87" s="7"/>
      <c r="D87" s="17"/>
      <c r="E87" s="17"/>
      <c r="F87" s="17"/>
      <c r="G87" s="17"/>
      <c r="H87" s="17"/>
      <c r="I87" s="17"/>
      <c r="J87" s="17"/>
      <c r="K87" s="17"/>
      <c r="L87" s="17"/>
    </row>
    <row r="88" spans="1:12" ht="15.75">
      <c r="A88" s="7"/>
      <c r="B88" s="13" t="s">
        <v>68</v>
      </c>
      <c r="D88" s="17"/>
      <c r="E88" s="17"/>
      <c r="F88" s="17"/>
      <c r="G88" s="17"/>
      <c r="H88" s="17"/>
      <c r="I88" s="17"/>
      <c r="J88" s="17"/>
      <c r="K88" s="17"/>
      <c r="L88" s="17"/>
    </row>
    <row r="89" spans="1:12" ht="15">
      <c r="A89" s="7"/>
      <c r="D89" s="17"/>
      <c r="E89" s="17"/>
      <c r="F89" s="17"/>
      <c r="G89" s="17"/>
      <c r="H89" s="17"/>
      <c r="I89" s="17"/>
      <c r="J89" s="17"/>
      <c r="K89" s="17"/>
      <c r="L89" s="17"/>
    </row>
    <row r="90" spans="1:12" s="68" customFormat="1" ht="15">
      <c r="A90" s="50" t="s">
        <v>247</v>
      </c>
      <c r="B90" s="66" t="s">
        <v>70</v>
      </c>
      <c r="C90" s="66"/>
      <c r="D90" s="67">
        <v>150</v>
      </c>
      <c r="E90" s="67">
        <v>75</v>
      </c>
      <c r="F90" s="67">
        <v>4.56</v>
      </c>
      <c r="G90" s="67">
        <v>22.27</v>
      </c>
      <c r="H90" s="67">
        <v>33.72</v>
      </c>
      <c r="I90" s="67">
        <v>486.79</v>
      </c>
      <c r="J90" s="67">
        <v>243.35</v>
      </c>
      <c r="K90" s="67">
        <v>89.12</v>
      </c>
      <c r="L90" s="67">
        <v>44.56</v>
      </c>
    </row>
    <row r="91" spans="1:12" s="68" customFormat="1" ht="15">
      <c r="A91" s="50"/>
      <c r="B91" s="66"/>
      <c r="C91" s="66"/>
      <c r="D91" s="67"/>
      <c r="E91" s="67"/>
      <c r="F91" s="67"/>
      <c r="G91" s="67"/>
      <c r="H91" s="67"/>
      <c r="I91" s="67"/>
      <c r="J91" s="67"/>
      <c r="K91" s="67"/>
      <c r="L91" s="67"/>
    </row>
    <row r="92" spans="1:12" s="68" customFormat="1" ht="33" customHeight="1">
      <c r="A92" s="50" t="s">
        <v>75</v>
      </c>
      <c r="B92" s="49" t="s">
        <v>197</v>
      </c>
      <c r="C92" s="49"/>
      <c r="D92" s="67">
        <v>1703.97</v>
      </c>
      <c r="E92" s="67">
        <v>851.99</v>
      </c>
      <c r="F92" s="67">
        <v>643.67</v>
      </c>
      <c r="G92" s="67">
        <v>755.03</v>
      </c>
      <c r="H92" s="67">
        <v>2759.55</v>
      </c>
      <c r="I92" s="67">
        <v>15350.72</v>
      </c>
      <c r="J92" s="67">
        <v>7675.36</v>
      </c>
      <c r="K92" s="67">
        <v>2038.9</v>
      </c>
      <c r="L92" s="67">
        <v>1019.45</v>
      </c>
    </row>
    <row r="93" spans="1:12" s="68" customFormat="1" ht="15">
      <c r="A93" s="50"/>
      <c r="B93" s="66"/>
      <c r="C93" s="66"/>
      <c r="D93" s="67"/>
      <c r="E93" s="67"/>
      <c r="F93" s="67"/>
      <c r="G93" s="67"/>
      <c r="H93" s="67"/>
      <c r="I93" s="67"/>
      <c r="J93" s="67"/>
      <c r="K93" s="67"/>
      <c r="L93" s="67"/>
    </row>
    <row r="94" spans="1:12" s="68" customFormat="1" ht="45.75" customHeight="1">
      <c r="A94" s="50" t="s">
        <v>76</v>
      </c>
      <c r="B94" s="49" t="s">
        <v>198</v>
      </c>
      <c r="C94" s="49"/>
      <c r="D94" s="67">
        <v>1070.2</v>
      </c>
      <c r="E94" s="67">
        <v>535.1</v>
      </c>
      <c r="F94" s="67">
        <v>535.62</v>
      </c>
      <c r="G94" s="67">
        <v>788.52</v>
      </c>
      <c r="H94" s="67">
        <v>2366.69</v>
      </c>
      <c r="I94" s="67">
        <v>9658.94</v>
      </c>
      <c r="J94" s="67">
        <v>4829.47</v>
      </c>
      <c r="K94" s="67">
        <v>1471</v>
      </c>
      <c r="L94" s="67">
        <v>735.5</v>
      </c>
    </row>
    <row r="95" spans="1:12" s="68" customFormat="1" ht="15">
      <c r="A95" s="50"/>
      <c r="B95" s="66"/>
      <c r="C95" s="66"/>
      <c r="D95" s="67"/>
      <c r="E95" s="67"/>
      <c r="F95" s="67"/>
      <c r="G95" s="67"/>
      <c r="H95" s="67"/>
      <c r="I95" s="67"/>
      <c r="J95" s="67"/>
      <c r="K95" s="67"/>
      <c r="L95" s="67"/>
    </row>
    <row r="96" spans="1:12" s="68" customFormat="1" ht="33.75" customHeight="1">
      <c r="A96" s="50" t="s">
        <v>248</v>
      </c>
      <c r="B96" s="49" t="s">
        <v>199</v>
      </c>
      <c r="C96" s="49"/>
      <c r="D96" s="67">
        <v>1750</v>
      </c>
      <c r="E96" s="67">
        <v>875</v>
      </c>
      <c r="F96" s="67">
        <v>549.45</v>
      </c>
      <c r="G96" s="67">
        <v>625.45</v>
      </c>
      <c r="H96" s="67">
        <v>2387.3</v>
      </c>
      <c r="I96" s="67">
        <v>11624.39</v>
      </c>
      <c r="J96" s="67">
        <v>5812.2</v>
      </c>
      <c r="K96" s="67">
        <v>1798.45</v>
      </c>
      <c r="L96" s="67">
        <v>899.22</v>
      </c>
    </row>
    <row r="97" spans="1:12" s="68" customFormat="1" ht="15">
      <c r="A97" s="50"/>
      <c r="B97" s="66"/>
      <c r="C97" s="66"/>
      <c r="D97" s="67"/>
      <c r="E97" s="67"/>
      <c r="F97" s="67"/>
      <c r="G97" s="67"/>
      <c r="H97" s="67"/>
      <c r="I97" s="67"/>
      <c r="J97" s="67"/>
      <c r="K97" s="67"/>
      <c r="L97" s="67"/>
    </row>
    <row r="98" spans="1:12" s="68" customFormat="1" ht="51.75" customHeight="1">
      <c r="A98" s="50" t="s">
        <v>77</v>
      </c>
      <c r="B98" s="49" t="s">
        <v>200</v>
      </c>
      <c r="C98" s="49"/>
      <c r="D98" s="67">
        <v>1430</v>
      </c>
      <c r="E98" s="67">
        <v>572</v>
      </c>
      <c r="F98" s="67">
        <v>705.17</v>
      </c>
      <c r="G98" s="67">
        <v>800.91</v>
      </c>
      <c r="H98" s="67">
        <v>2846.05</v>
      </c>
      <c r="I98" s="67">
        <v>11113.02</v>
      </c>
      <c r="J98" s="67">
        <v>5556.51</v>
      </c>
      <c r="K98" s="67">
        <v>2276.73</v>
      </c>
      <c r="L98" s="67">
        <v>1138.37</v>
      </c>
    </row>
    <row r="99" spans="1:12" s="68" customFormat="1" ht="15">
      <c r="A99" s="50"/>
      <c r="B99" s="66"/>
      <c r="C99" s="66"/>
      <c r="D99" s="67"/>
      <c r="E99" s="67"/>
      <c r="F99" s="67"/>
      <c r="G99" s="67"/>
      <c r="H99" s="67"/>
      <c r="I99" s="67"/>
      <c r="J99" s="67"/>
      <c r="K99" s="67"/>
      <c r="L99" s="67"/>
    </row>
    <row r="100" spans="1:12" s="68" customFormat="1" ht="24.75" customHeight="1">
      <c r="A100" s="50" t="s">
        <v>78</v>
      </c>
      <c r="B100" s="49" t="s">
        <v>201</v>
      </c>
      <c r="C100" s="49"/>
      <c r="D100" s="67">
        <v>140</v>
      </c>
      <c r="E100" s="67">
        <v>42</v>
      </c>
      <c r="F100" s="67">
        <v>7.4</v>
      </c>
      <c r="G100" s="67">
        <v>29.7</v>
      </c>
      <c r="H100" s="67">
        <v>59.92</v>
      </c>
      <c r="I100" s="67">
        <v>553</v>
      </c>
      <c r="J100" s="67">
        <v>276.05</v>
      </c>
      <c r="K100" s="67">
        <v>106</v>
      </c>
      <c r="L100" s="67">
        <v>53</v>
      </c>
    </row>
    <row r="101" spans="1:12" s="68" customFormat="1" ht="15">
      <c r="A101" s="50"/>
      <c r="B101" s="66"/>
      <c r="C101" s="66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1:12" s="68" customFormat="1" ht="36" customHeight="1">
      <c r="A102" s="50" t="s">
        <v>79</v>
      </c>
      <c r="B102" s="49" t="s">
        <v>202</v>
      </c>
      <c r="C102" s="49"/>
      <c r="D102" s="67">
        <v>36.4</v>
      </c>
      <c r="E102" s="67">
        <v>10.92</v>
      </c>
      <c r="F102" s="67">
        <v>4.15</v>
      </c>
      <c r="G102" s="67">
        <v>4.62</v>
      </c>
      <c r="H102" s="67">
        <v>16.83</v>
      </c>
      <c r="I102" s="67">
        <v>95</v>
      </c>
      <c r="J102" s="67">
        <v>28.5</v>
      </c>
      <c r="K102" s="67">
        <v>18.15</v>
      </c>
      <c r="L102" s="67">
        <v>5.45</v>
      </c>
    </row>
    <row r="103" spans="1:12" s="68" customFormat="1" ht="15">
      <c r="A103" s="50"/>
      <c r="B103" s="66"/>
      <c r="C103" s="66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1:12" s="68" customFormat="1" ht="21" customHeight="1">
      <c r="A104" s="50" t="s">
        <v>80</v>
      </c>
      <c r="B104" s="49" t="s">
        <v>179</v>
      </c>
      <c r="C104" s="49"/>
      <c r="D104" s="69">
        <v>2017.7</v>
      </c>
      <c r="E104" s="69">
        <v>605.31</v>
      </c>
      <c r="F104" s="67">
        <v>71</v>
      </c>
      <c r="G104" s="67">
        <v>52</v>
      </c>
      <c r="H104" s="67">
        <f>71+52+25.45+21.01+24.54</f>
        <v>193.99999999999997</v>
      </c>
      <c r="I104" s="67">
        <v>2550</v>
      </c>
      <c r="J104" s="67">
        <v>510</v>
      </c>
      <c r="K104" s="67">
        <v>700</v>
      </c>
      <c r="L104" s="67">
        <v>160</v>
      </c>
    </row>
    <row r="105" spans="1:12" s="68" customFormat="1" ht="15">
      <c r="A105" s="50"/>
      <c r="B105" s="66"/>
      <c r="C105" s="66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1:12" s="68" customFormat="1" ht="17.25" customHeight="1">
      <c r="A106" s="50" t="s">
        <v>81</v>
      </c>
      <c r="B106" s="49" t="s">
        <v>203</v>
      </c>
      <c r="C106" s="49"/>
      <c r="D106" s="69">
        <v>600</v>
      </c>
      <c r="E106" s="69">
        <v>300</v>
      </c>
      <c r="F106" s="67">
        <v>125</v>
      </c>
      <c r="G106" s="67">
        <v>135</v>
      </c>
      <c r="H106" s="67">
        <f>125+135+92.93+56.3+69.53</f>
        <v>478.76</v>
      </c>
      <c r="I106" s="67">
        <v>983</v>
      </c>
      <c r="J106" s="67">
        <v>331</v>
      </c>
      <c r="K106" s="67">
        <v>220</v>
      </c>
      <c r="L106" s="67">
        <v>66</v>
      </c>
    </row>
    <row r="107" spans="1:12" s="68" customFormat="1" ht="15">
      <c r="A107" s="50"/>
      <c r="B107" s="66"/>
      <c r="C107" s="66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1:12" s="68" customFormat="1" ht="24.75" customHeight="1">
      <c r="A108" s="50" t="s">
        <v>82</v>
      </c>
      <c r="B108" s="49" t="s">
        <v>204</v>
      </c>
      <c r="C108" s="49"/>
      <c r="D108" s="69">
        <v>400</v>
      </c>
      <c r="E108" s="69">
        <v>200</v>
      </c>
      <c r="F108" s="67">
        <v>30</v>
      </c>
      <c r="G108" s="67">
        <v>33</v>
      </c>
      <c r="H108" s="67">
        <f>63+24.54+21+25.45</f>
        <v>133.98999999999998</v>
      </c>
      <c r="I108" s="67">
        <v>350</v>
      </c>
      <c r="J108" s="67">
        <v>175</v>
      </c>
      <c r="K108" s="67">
        <v>70</v>
      </c>
      <c r="L108" s="67">
        <v>35</v>
      </c>
    </row>
    <row r="109" spans="1:12" s="68" customFormat="1" ht="15">
      <c r="A109" s="50"/>
      <c r="B109" s="66"/>
      <c r="C109" s="66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1:12" s="68" customFormat="1" ht="41.25" customHeight="1">
      <c r="A110" s="50" t="s">
        <v>83</v>
      </c>
      <c r="B110" s="49" t="s">
        <v>205</v>
      </c>
      <c r="C110" s="49"/>
      <c r="D110" s="69">
        <v>100.3</v>
      </c>
      <c r="E110" s="69">
        <v>30.09</v>
      </c>
      <c r="F110" s="67">
        <v>11.39</v>
      </c>
      <c r="G110" s="67">
        <v>29.33</v>
      </c>
      <c r="H110" s="67">
        <f>29.33+11.39+1.85+1.63+2.98</f>
        <v>47.18</v>
      </c>
      <c r="I110" s="67">
        <v>350</v>
      </c>
      <c r="J110" s="67">
        <v>115</v>
      </c>
      <c r="K110" s="67">
        <v>61.88</v>
      </c>
      <c r="L110" s="67">
        <v>20.28</v>
      </c>
    </row>
    <row r="111" spans="1:12" s="68" customFormat="1" ht="15">
      <c r="A111" s="50"/>
      <c r="B111" s="66"/>
      <c r="C111" s="66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1:12" s="68" customFormat="1" ht="39" customHeight="1">
      <c r="A112" s="50" t="s">
        <v>84</v>
      </c>
      <c r="B112" s="49" t="s">
        <v>206</v>
      </c>
      <c r="C112" s="49"/>
      <c r="D112" s="69">
        <v>400</v>
      </c>
      <c r="E112" s="69">
        <v>119.99955588617364</v>
      </c>
      <c r="F112" s="67">
        <v>11.35</v>
      </c>
      <c r="G112" s="67">
        <v>9.15</v>
      </c>
      <c r="H112" s="67">
        <f>11.35+9.15+24.11+22.67+23.8</f>
        <v>91.08</v>
      </c>
      <c r="I112" s="67">
        <v>362</v>
      </c>
      <c r="J112" s="67">
        <v>72</v>
      </c>
      <c r="K112" s="67">
        <v>67</v>
      </c>
      <c r="L112" s="67">
        <v>13.4</v>
      </c>
    </row>
    <row r="113" spans="1:12" s="68" customFormat="1" ht="15">
      <c r="A113" s="50"/>
      <c r="B113" s="66"/>
      <c r="C113" s="66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1:12" s="68" customFormat="1" ht="19.5" customHeight="1">
      <c r="A114" s="50" t="s">
        <v>86</v>
      </c>
      <c r="B114" s="49" t="s">
        <v>207</v>
      </c>
      <c r="C114" s="49"/>
      <c r="D114" s="69">
        <v>3500</v>
      </c>
      <c r="E114" s="69">
        <v>1750.0048718698235</v>
      </c>
      <c r="F114" s="67">
        <v>474</v>
      </c>
      <c r="G114" s="67">
        <v>450</v>
      </c>
      <c r="H114" s="67">
        <f>450+474+336.5+386.5+386.5</f>
        <v>2033.5</v>
      </c>
      <c r="I114" s="67">
        <v>5000</v>
      </c>
      <c r="J114" s="67">
        <v>2000</v>
      </c>
      <c r="K114" s="67">
        <v>900</v>
      </c>
      <c r="L114" s="67">
        <v>400</v>
      </c>
    </row>
    <row r="115" spans="1:12" s="68" customFormat="1" ht="15">
      <c r="A115" s="50"/>
      <c r="B115" s="66"/>
      <c r="C115" s="66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1:12" s="68" customFormat="1" ht="33" customHeight="1">
      <c r="A116" s="50" t="s">
        <v>88</v>
      </c>
      <c r="B116" s="49" t="s">
        <v>208</v>
      </c>
      <c r="C116" s="49"/>
      <c r="D116" s="67">
        <v>621</v>
      </c>
      <c r="E116" s="67">
        <v>248.8</v>
      </c>
      <c r="F116" s="67">
        <v>815.34</v>
      </c>
      <c r="G116" s="67">
        <v>1124.99</v>
      </c>
      <c r="H116" s="67">
        <v>2607.16</v>
      </c>
      <c r="I116" s="67">
        <v>7164.09</v>
      </c>
      <c r="J116" s="67">
        <v>2865.64</v>
      </c>
      <c r="K116" s="67">
        <v>1335.88</v>
      </c>
      <c r="L116" s="67">
        <v>667.94</v>
      </c>
    </row>
    <row r="117" spans="1:12" s="68" customFormat="1" ht="15">
      <c r="A117" s="50"/>
      <c r="B117" s="66"/>
      <c r="C117" s="66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1:12" s="68" customFormat="1" ht="15">
      <c r="A118" s="50" t="s">
        <v>249</v>
      </c>
      <c r="B118" s="46" t="s">
        <v>85</v>
      </c>
      <c r="C118" s="46"/>
      <c r="D118" s="67">
        <v>15</v>
      </c>
      <c r="E118" s="67">
        <v>3</v>
      </c>
      <c r="F118" s="67">
        <v>3.07</v>
      </c>
      <c r="G118" s="67">
        <v>4.72</v>
      </c>
      <c r="H118" s="67">
        <v>24.26</v>
      </c>
      <c r="I118" s="67">
        <v>432.1</v>
      </c>
      <c r="J118" s="67">
        <v>86.42</v>
      </c>
      <c r="K118" s="67">
        <v>26.85</v>
      </c>
      <c r="L118" s="67">
        <v>6.43</v>
      </c>
    </row>
    <row r="119" spans="1:12" s="68" customFormat="1" ht="15">
      <c r="A119" s="50"/>
      <c r="C119" s="70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1:12" s="68" customFormat="1" ht="15">
      <c r="A120" s="50" t="s">
        <v>250</v>
      </c>
      <c r="B120" s="46" t="s">
        <v>87</v>
      </c>
      <c r="C120" s="46"/>
      <c r="D120" s="67">
        <v>29.09</v>
      </c>
      <c r="E120" s="67">
        <v>14.55</v>
      </c>
      <c r="F120" s="67">
        <v>9.25</v>
      </c>
      <c r="G120" s="67">
        <v>10.25</v>
      </c>
      <c r="H120" s="67">
        <v>51.76</v>
      </c>
      <c r="I120" s="67">
        <v>190.93</v>
      </c>
      <c r="J120" s="67">
        <v>95.47</v>
      </c>
      <c r="K120" s="67">
        <v>31.45</v>
      </c>
      <c r="L120" s="67">
        <v>15.73</v>
      </c>
    </row>
    <row r="121" spans="1:12" s="68" customFormat="1" ht="15">
      <c r="A121" s="50"/>
      <c r="B121" s="66"/>
      <c r="C121" s="66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1:12" s="68" customFormat="1" ht="17.25" customHeight="1">
      <c r="A122" s="50" t="s">
        <v>91</v>
      </c>
      <c r="B122" s="46" t="s">
        <v>89</v>
      </c>
      <c r="C122" s="46"/>
      <c r="D122" s="67">
        <v>0</v>
      </c>
      <c r="E122" s="67">
        <v>0</v>
      </c>
      <c r="F122" s="67">
        <v>8.19</v>
      </c>
      <c r="G122" s="67">
        <v>10</v>
      </c>
      <c r="H122" s="67">
        <v>18.19</v>
      </c>
      <c r="I122" s="67">
        <v>672</v>
      </c>
      <c r="J122" s="67">
        <v>336</v>
      </c>
      <c r="K122" s="67">
        <v>237.55</v>
      </c>
      <c r="L122" s="67">
        <v>118.78</v>
      </c>
    </row>
    <row r="123" spans="1:12" ht="15">
      <c r="A123" s="7"/>
      <c r="D123" s="17"/>
      <c r="E123" s="17"/>
      <c r="F123" s="17"/>
      <c r="G123" s="17"/>
      <c r="H123" s="17"/>
      <c r="I123" s="17"/>
      <c r="J123" s="17"/>
      <c r="K123" s="17"/>
      <c r="L123" s="17"/>
    </row>
    <row r="124" spans="1:12" ht="15.75">
      <c r="A124" s="10"/>
      <c r="B124" s="11" t="s">
        <v>35</v>
      </c>
      <c r="C124" s="12"/>
      <c r="D124" s="24">
        <f>SUBTOTAL(9,D90:D122)</f>
        <v>13963.66</v>
      </c>
      <c r="E124" s="24">
        <f aca="true" t="shared" si="5" ref="E124:L124">SUBTOTAL(9,E90:E122)</f>
        <v>6233.7644277559975</v>
      </c>
      <c r="F124" s="24">
        <f t="shared" si="5"/>
        <v>4008.61</v>
      </c>
      <c r="G124" s="24">
        <f t="shared" si="5"/>
        <v>4884.94</v>
      </c>
      <c r="H124" s="24">
        <f t="shared" si="5"/>
        <v>16149.940000000002</v>
      </c>
      <c r="I124" s="24">
        <f t="shared" si="5"/>
        <v>66935.98</v>
      </c>
      <c r="J124" s="24">
        <f t="shared" si="5"/>
        <v>31007.969999999998</v>
      </c>
      <c r="K124" s="24">
        <f t="shared" si="5"/>
        <v>11448.960000000001</v>
      </c>
      <c r="L124" s="24">
        <f t="shared" si="5"/>
        <v>5399.109999999998</v>
      </c>
    </row>
    <row r="125" spans="1:12" ht="15">
      <c r="A125" s="7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1:12" ht="15.75">
      <c r="A126" s="7"/>
      <c r="B126" s="13" t="s">
        <v>90</v>
      </c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1:12" s="55" customFormat="1" ht="21" customHeight="1">
      <c r="A127" s="50" t="s">
        <v>92</v>
      </c>
      <c r="B127" s="45" t="s">
        <v>209</v>
      </c>
      <c r="C127" s="45"/>
      <c r="D127" s="54">
        <v>450</v>
      </c>
      <c r="E127" s="54">
        <v>450</v>
      </c>
      <c r="F127" s="54">
        <v>283.21</v>
      </c>
      <c r="G127" s="54">
        <v>302.46</v>
      </c>
      <c r="H127" s="54">
        <v>1469.74</v>
      </c>
      <c r="I127" s="54">
        <v>2220</v>
      </c>
      <c r="J127" s="54">
        <v>2220</v>
      </c>
      <c r="K127" s="54">
        <v>557.26</v>
      </c>
      <c r="L127" s="54">
        <v>557.26</v>
      </c>
    </row>
    <row r="128" spans="1:12" ht="12" customHeight="1">
      <c r="A128" s="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ht="15">
      <c r="A129" s="7" t="s">
        <v>94</v>
      </c>
      <c r="B129" s="57" t="s">
        <v>93</v>
      </c>
      <c r="C129" s="57"/>
      <c r="D129" s="17">
        <v>226</v>
      </c>
      <c r="E129" s="17">
        <v>34.61</v>
      </c>
      <c r="F129" s="17">
        <v>17.47</v>
      </c>
      <c r="G129" s="17">
        <v>17.3</v>
      </c>
      <c r="H129" s="17">
        <v>80.74</v>
      </c>
      <c r="I129" s="17">
        <v>260</v>
      </c>
      <c r="J129" s="17">
        <v>52</v>
      </c>
      <c r="K129" s="17">
        <v>47.1</v>
      </c>
      <c r="L129" s="17">
        <v>9.42</v>
      </c>
    </row>
    <row r="130" spans="1:12" ht="11.25" customHeight="1">
      <c r="A130" s="7"/>
      <c r="D130" s="17"/>
      <c r="E130" s="17"/>
      <c r="F130" s="17"/>
      <c r="G130" s="17"/>
      <c r="H130" s="17"/>
      <c r="I130" s="17"/>
      <c r="J130" s="17"/>
      <c r="K130" s="17"/>
      <c r="L130" s="17"/>
    </row>
    <row r="131" spans="1:12" ht="15">
      <c r="A131" s="7" t="s">
        <v>96</v>
      </c>
      <c r="B131" s="1" t="s">
        <v>95</v>
      </c>
      <c r="D131" s="17">
        <v>6107.97</v>
      </c>
      <c r="E131" s="17">
        <v>1197.33</v>
      </c>
      <c r="F131" s="17">
        <v>794.08</v>
      </c>
      <c r="G131" s="17">
        <v>1324.09</v>
      </c>
      <c r="H131" s="17">
        <v>3169.6</v>
      </c>
      <c r="I131" s="17">
        <v>34094.19</v>
      </c>
      <c r="J131" s="17">
        <v>13637.68</v>
      </c>
      <c r="K131" s="17">
        <v>3569.78</v>
      </c>
      <c r="L131" s="17">
        <v>1427.91</v>
      </c>
    </row>
    <row r="132" spans="1:12" ht="9.75" customHeight="1">
      <c r="A132" s="7"/>
      <c r="D132" s="17"/>
      <c r="E132" s="17"/>
      <c r="F132" s="17"/>
      <c r="G132" s="17"/>
      <c r="H132" s="17"/>
      <c r="I132" s="17"/>
      <c r="J132" s="17"/>
      <c r="K132" s="17"/>
      <c r="L132" s="17"/>
    </row>
    <row r="133" spans="1:12" ht="15">
      <c r="A133" s="7" t="s">
        <v>98</v>
      </c>
      <c r="B133" s="1" t="s">
        <v>97</v>
      </c>
      <c r="D133" s="17">
        <v>213.2</v>
      </c>
      <c r="E133" s="17">
        <v>40.83</v>
      </c>
      <c r="F133" s="17">
        <v>8.45</v>
      </c>
      <c r="G133" s="17">
        <v>13.31</v>
      </c>
      <c r="H133" s="17">
        <v>40.06</v>
      </c>
      <c r="I133" s="17">
        <v>633.55</v>
      </c>
      <c r="J133" s="17">
        <v>126.71</v>
      </c>
      <c r="K133" s="17">
        <v>79.67</v>
      </c>
      <c r="L133" s="17">
        <v>15.93</v>
      </c>
    </row>
    <row r="134" spans="1:12" ht="12" customHeight="1">
      <c r="A134" s="7"/>
      <c r="D134" s="17"/>
      <c r="E134" s="17"/>
      <c r="F134" s="17"/>
      <c r="G134" s="17"/>
      <c r="H134" s="17"/>
      <c r="I134" s="17"/>
      <c r="J134" s="17"/>
      <c r="K134" s="17"/>
      <c r="L134" s="17"/>
    </row>
    <row r="135" spans="1:12" ht="15">
      <c r="A135" s="7" t="s">
        <v>100</v>
      </c>
      <c r="B135" s="1" t="s">
        <v>99</v>
      </c>
      <c r="D135" s="17">
        <v>53.55</v>
      </c>
      <c r="E135" s="17">
        <v>6.23</v>
      </c>
      <c r="F135" s="17">
        <v>1.54</v>
      </c>
      <c r="G135" s="17">
        <v>2.14</v>
      </c>
      <c r="H135" s="17">
        <v>5.84</v>
      </c>
      <c r="I135" s="17">
        <v>246.94</v>
      </c>
      <c r="J135" s="17">
        <v>27.16</v>
      </c>
      <c r="K135" s="17">
        <v>37.72</v>
      </c>
      <c r="L135" s="17">
        <v>4.15</v>
      </c>
    </row>
    <row r="136" spans="1:12" ht="12" customHeight="1">
      <c r="A136" s="7"/>
      <c r="D136" s="17"/>
      <c r="E136" s="17"/>
      <c r="F136" s="17"/>
      <c r="G136" s="17"/>
      <c r="H136" s="17"/>
      <c r="I136" s="17"/>
      <c r="J136" s="17"/>
      <c r="K136" s="17"/>
      <c r="L136" s="17"/>
    </row>
    <row r="137" spans="1:12" ht="15">
      <c r="A137" s="7" t="s">
        <v>251</v>
      </c>
      <c r="B137" s="1" t="s">
        <v>101</v>
      </c>
      <c r="D137" s="17">
        <v>82.5</v>
      </c>
      <c r="E137" s="17">
        <v>4.21</v>
      </c>
      <c r="F137" s="17">
        <v>1</v>
      </c>
      <c r="G137" s="17">
        <v>1.96</v>
      </c>
      <c r="H137" s="17">
        <f>2.96+0.63+0.78+1.35</f>
        <v>5.720000000000001</v>
      </c>
      <c r="I137" s="17">
        <v>160</v>
      </c>
      <c r="J137" s="17">
        <v>16</v>
      </c>
      <c r="K137" s="17">
        <v>28.5</v>
      </c>
      <c r="L137" s="17">
        <v>2.85</v>
      </c>
    </row>
    <row r="138" spans="1:12" ht="12.75" customHeight="1">
      <c r="A138" s="7"/>
      <c r="D138" s="17"/>
      <c r="E138" s="17"/>
      <c r="F138" s="17"/>
      <c r="G138" s="17"/>
      <c r="H138" s="17"/>
      <c r="I138" s="17"/>
      <c r="J138" s="17"/>
      <c r="K138" s="17"/>
      <c r="L138" s="17"/>
    </row>
    <row r="139" spans="1:12" s="55" customFormat="1" ht="30.75" customHeight="1">
      <c r="A139" s="50" t="s">
        <v>102</v>
      </c>
      <c r="B139" s="56" t="s">
        <v>258</v>
      </c>
      <c r="C139" s="56"/>
      <c r="D139" s="54">
        <v>3000</v>
      </c>
      <c r="E139" s="54">
        <v>590</v>
      </c>
      <c r="F139" s="54">
        <v>128</v>
      </c>
      <c r="G139" s="54">
        <v>168</v>
      </c>
      <c r="H139" s="54">
        <v>560.9</v>
      </c>
      <c r="I139" s="54">
        <v>3000</v>
      </c>
      <c r="J139" s="54">
        <v>600</v>
      </c>
      <c r="K139" s="54">
        <v>650</v>
      </c>
      <c r="L139" s="54">
        <v>130</v>
      </c>
    </row>
    <row r="140" spans="1:12" ht="11.25" customHeight="1">
      <c r="A140" s="7"/>
      <c r="D140" s="17"/>
      <c r="E140" s="17"/>
      <c r="F140" s="17"/>
      <c r="G140" s="17"/>
      <c r="H140" s="17"/>
      <c r="I140" s="17"/>
      <c r="J140" s="17"/>
      <c r="K140" s="17"/>
      <c r="L140" s="17"/>
    </row>
    <row r="141" spans="1:12" ht="15">
      <c r="A141" s="7" t="s">
        <v>103</v>
      </c>
      <c r="B141" s="57" t="s">
        <v>210</v>
      </c>
      <c r="C141" s="57"/>
      <c r="D141" s="17">
        <v>14</v>
      </c>
      <c r="E141" s="17">
        <v>8.32</v>
      </c>
      <c r="F141" s="17">
        <v>0</v>
      </c>
      <c r="G141" s="17">
        <v>0</v>
      </c>
      <c r="H141" s="17">
        <v>0</v>
      </c>
      <c r="I141" s="17">
        <v>10</v>
      </c>
      <c r="J141" s="17">
        <v>2</v>
      </c>
      <c r="K141" s="17">
        <v>2</v>
      </c>
      <c r="L141" s="17">
        <v>1</v>
      </c>
    </row>
    <row r="142" spans="1:12" ht="15">
      <c r="A142" s="7"/>
      <c r="D142" s="17"/>
      <c r="E142" s="17"/>
      <c r="F142" s="17"/>
      <c r="G142" s="17"/>
      <c r="H142" s="17"/>
      <c r="I142" s="17"/>
      <c r="J142" s="17"/>
      <c r="K142" s="17"/>
      <c r="L142" s="17"/>
    </row>
    <row r="143" spans="1:12" ht="15">
      <c r="A143" s="7" t="s">
        <v>105</v>
      </c>
      <c r="B143" s="14" t="s">
        <v>170</v>
      </c>
      <c r="D143" s="17">
        <v>0</v>
      </c>
      <c r="E143" s="17">
        <v>0</v>
      </c>
      <c r="F143" s="17">
        <v>86.24</v>
      </c>
      <c r="G143" s="17">
        <v>142.8</v>
      </c>
      <c r="H143" s="17">
        <v>404</v>
      </c>
      <c r="I143" s="17">
        <v>3400</v>
      </c>
      <c r="J143" s="17">
        <v>680</v>
      </c>
      <c r="K143" s="17">
        <v>600</v>
      </c>
      <c r="L143" s="17">
        <v>120</v>
      </c>
    </row>
    <row r="144" spans="1:12" ht="15">
      <c r="A144" s="7"/>
      <c r="D144" s="17"/>
      <c r="E144" s="17"/>
      <c r="F144" s="17"/>
      <c r="G144" s="17"/>
      <c r="H144" s="17"/>
      <c r="I144" s="17"/>
      <c r="J144" s="17"/>
      <c r="K144" s="17"/>
      <c r="L144" s="17"/>
    </row>
    <row r="145" spans="1:12" ht="15">
      <c r="A145" s="7" t="s">
        <v>106</v>
      </c>
      <c r="B145" s="51" t="s">
        <v>171</v>
      </c>
      <c r="C145" s="51"/>
      <c r="D145" s="17">
        <v>0</v>
      </c>
      <c r="E145" s="17">
        <v>0</v>
      </c>
      <c r="F145" s="17">
        <v>793.91</v>
      </c>
      <c r="G145" s="17">
        <v>2096.4</v>
      </c>
      <c r="H145" s="17">
        <v>2890.31</v>
      </c>
      <c r="I145" s="17">
        <v>5000</v>
      </c>
      <c r="J145" s="17">
        <v>1000</v>
      </c>
      <c r="K145" s="17">
        <v>700</v>
      </c>
      <c r="L145" s="17">
        <v>140</v>
      </c>
    </row>
    <row r="146" spans="1:12" ht="15">
      <c r="A146" s="7"/>
      <c r="B146" s="14"/>
      <c r="D146" s="17"/>
      <c r="E146" s="17"/>
      <c r="F146" s="17"/>
      <c r="G146" s="17"/>
      <c r="H146" s="17"/>
      <c r="I146" s="17"/>
      <c r="J146" s="17"/>
      <c r="K146" s="17"/>
      <c r="L146" s="17"/>
    </row>
    <row r="147" spans="1:12" ht="15.75">
      <c r="A147" s="10"/>
      <c r="B147" s="11" t="s">
        <v>35</v>
      </c>
      <c r="C147" s="12"/>
      <c r="D147" s="24">
        <f>SUBTOTAL(9,D127:D146)</f>
        <v>10147.220000000001</v>
      </c>
      <c r="E147" s="24">
        <f aca="true" t="shared" si="6" ref="E147:L147">SUBTOTAL(9,E127:E146)</f>
        <v>2331.53</v>
      </c>
      <c r="F147" s="24">
        <f t="shared" si="6"/>
        <v>2113.9</v>
      </c>
      <c r="G147" s="24">
        <f t="shared" si="6"/>
        <v>4068.46</v>
      </c>
      <c r="H147" s="24">
        <f t="shared" si="6"/>
        <v>8626.91</v>
      </c>
      <c r="I147" s="24">
        <f t="shared" si="6"/>
        <v>49024.68000000001</v>
      </c>
      <c r="J147" s="24">
        <f t="shared" si="6"/>
        <v>18361.55</v>
      </c>
      <c r="K147" s="24">
        <f t="shared" si="6"/>
        <v>6272.030000000001</v>
      </c>
      <c r="L147" s="24">
        <f t="shared" si="6"/>
        <v>2408.5200000000004</v>
      </c>
    </row>
    <row r="148" spans="1:12" ht="15">
      <c r="A148" s="7"/>
      <c r="D148" s="17"/>
      <c r="E148" s="17"/>
      <c r="F148" s="17"/>
      <c r="G148" s="17"/>
      <c r="H148" s="17"/>
      <c r="I148" s="17"/>
      <c r="J148" s="17"/>
      <c r="K148" s="17"/>
      <c r="L148" s="17"/>
    </row>
    <row r="149" spans="1:12" ht="15.75">
      <c r="A149" s="7"/>
      <c r="B149" s="13" t="s">
        <v>104</v>
      </c>
      <c r="D149" s="17"/>
      <c r="E149" s="17"/>
      <c r="F149" s="17"/>
      <c r="G149" s="17"/>
      <c r="H149" s="17"/>
      <c r="I149" s="17"/>
      <c r="J149" s="17"/>
      <c r="K149" s="17"/>
      <c r="L149" s="17"/>
    </row>
    <row r="150" spans="1:12" s="55" customFormat="1" ht="20.25" customHeight="1">
      <c r="A150" s="50" t="s">
        <v>107</v>
      </c>
      <c r="B150" s="65" t="s">
        <v>167</v>
      </c>
      <c r="C150" s="65"/>
      <c r="D150" s="54">
        <v>284</v>
      </c>
      <c r="E150" s="54">
        <v>127.8</v>
      </c>
      <c r="F150" s="54">
        <v>61</v>
      </c>
      <c r="G150" s="54">
        <v>49.5</v>
      </c>
      <c r="H150" s="54">
        <f>61+49.5</f>
        <v>110.5</v>
      </c>
      <c r="I150" s="54">
        <v>1125</v>
      </c>
      <c r="J150" s="54">
        <v>500</v>
      </c>
      <c r="K150" s="54">
        <v>225</v>
      </c>
      <c r="L150" s="54">
        <v>100</v>
      </c>
    </row>
    <row r="151" spans="1:12" s="55" customFormat="1" ht="9.75" customHeight="1">
      <c r="A151" s="50"/>
      <c r="B151" s="64"/>
      <c r="C151" s="64"/>
      <c r="D151" s="54"/>
      <c r="E151" s="54"/>
      <c r="F151" s="54"/>
      <c r="G151" s="54"/>
      <c r="H151" s="54"/>
      <c r="I151" s="54"/>
      <c r="J151" s="54"/>
      <c r="K151" s="54"/>
      <c r="L151" s="54"/>
    </row>
    <row r="152" spans="1:12" s="55" customFormat="1" ht="33.75" customHeight="1">
      <c r="A152" s="50" t="s">
        <v>108</v>
      </c>
      <c r="B152" s="46" t="s">
        <v>211</v>
      </c>
      <c r="C152" s="46"/>
      <c r="D152" s="53">
        <v>750</v>
      </c>
      <c r="E152" s="53">
        <v>112.5</v>
      </c>
      <c r="F152" s="54">
        <v>24.33</v>
      </c>
      <c r="G152" s="54">
        <v>32.43</v>
      </c>
      <c r="H152" s="54">
        <f>24.33+32.43+7.5+52.33+26.55</f>
        <v>143.14</v>
      </c>
      <c r="I152" s="54">
        <v>2000</v>
      </c>
      <c r="J152" s="54">
        <v>285.72</v>
      </c>
      <c r="K152" s="54">
        <v>400</v>
      </c>
      <c r="L152" s="54">
        <v>57.14</v>
      </c>
    </row>
    <row r="153" spans="1:12" s="55" customFormat="1" ht="12" customHeight="1">
      <c r="A153" s="50"/>
      <c r="B153" s="59"/>
      <c r="C153" s="59"/>
      <c r="D153" s="54"/>
      <c r="E153" s="54"/>
      <c r="F153" s="54"/>
      <c r="G153" s="54"/>
      <c r="H153" s="54"/>
      <c r="I153" s="54"/>
      <c r="J153" s="54"/>
      <c r="K153" s="54"/>
      <c r="L153" s="54"/>
    </row>
    <row r="154" spans="1:12" s="55" customFormat="1" ht="18" customHeight="1">
      <c r="A154" s="50" t="s">
        <v>109</v>
      </c>
      <c r="B154" s="46" t="s">
        <v>180</v>
      </c>
      <c r="C154" s="46"/>
      <c r="D154" s="53">
        <v>50</v>
      </c>
      <c r="E154" s="53">
        <v>25</v>
      </c>
      <c r="F154" s="54">
        <v>10</v>
      </c>
      <c r="G154" s="54">
        <v>15</v>
      </c>
      <c r="H154" s="54">
        <f>25+15</f>
        <v>40</v>
      </c>
      <c r="I154" s="54">
        <v>200</v>
      </c>
      <c r="J154" s="54">
        <v>100</v>
      </c>
      <c r="K154" s="54">
        <v>40</v>
      </c>
      <c r="L154" s="54">
        <v>20</v>
      </c>
    </row>
    <row r="155" spans="1:12" s="55" customFormat="1" ht="9.75" customHeight="1">
      <c r="A155" s="50"/>
      <c r="B155" s="59"/>
      <c r="C155" s="59"/>
      <c r="D155" s="54"/>
      <c r="E155" s="54"/>
      <c r="F155" s="54"/>
      <c r="G155" s="54"/>
      <c r="H155" s="54"/>
      <c r="I155" s="54"/>
      <c r="J155" s="54"/>
      <c r="K155" s="54"/>
      <c r="L155" s="54"/>
    </row>
    <row r="156" spans="1:12" s="55" customFormat="1" ht="33.75" customHeight="1">
      <c r="A156" s="50" t="s">
        <v>111</v>
      </c>
      <c r="B156" s="60" t="s">
        <v>212</v>
      </c>
      <c r="C156" s="60"/>
      <c r="D156" s="53">
        <v>300</v>
      </c>
      <c r="E156" s="53">
        <v>45</v>
      </c>
      <c r="F156" s="54">
        <v>20</v>
      </c>
      <c r="G156" s="54">
        <v>5.2</v>
      </c>
      <c r="H156" s="54">
        <f>5.2+20+19.04+31.67+12.6</f>
        <v>88.50999999999999</v>
      </c>
      <c r="I156" s="54">
        <v>570</v>
      </c>
      <c r="J156" s="54">
        <f>+I156/6</f>
        <v>95</v>
      </c>
      <c r="K156" s="54">
        <v>110</v>
      </c>
      <c r="L156" s="54">
        <v>18.3</v>
      </c>
    </row>
    <row r="157" spans="1:12" s="55" customFormat="1" ht="11.25" customHeight="1">
      <c r="A157" s="50"/>
      <c r="B157" s="59"/>
      <c r="C157" s="59"/>
      <c r="D157" s="54"/>
      <c r="E157" s="54"/>
      <c r="F157" s="54"/>
      <c r="G157" s="54"/>
      <c r="H157" s="54"/>
      <c r="I157" s="54"/>
      <c r="J157" s="54"/>
      <c r="K157" s="54"/>
      <c r="L157" s="54"/>
    </row>
    <row r="158" spans="1:12" s="55" customFormat="1" ht="15">
      <c r="A158" s="50" t="s">
        <v>113</v>
      </c>
      <c r="B158" s="46" t="s">
        <v>213</v>
      </c>
      <c r="C158" s="46"/>
      <c r="D158" s="53">
        <v>355</v>
      </c>
      <c r="E158" s="53">
        <v>53.25</v>
      </c>
      <c r="F158" s="54">
        <v>30</v>
      </c>
      <c r="G158" s="54">
        <v>20</v>
      </c>
      <c r="H158" s="54">
        <f>50+10.3+12.86+38.74</f>
        <v>111.9</v>
      </c>
      <c r="I158" s="54">
        <v>1330</v>
      </c>
      <c r="J158" s="54">
        <f>+I158/7</f>
        <v>190</v>
      </c>
      <c r="K158" s="54">
        <v>310</v>
      </c>
      <c r="L158" s="54">
        <v>44.3</v>
      </c>
    </row>
    <row r="159" spans="1:12" s="55" customFormat="1" ht="12" customHeight="1">
      <c r="A159" s="50"/>
      <c r="B159" s="59"/>
      <c r="C159" s="59"/>
      <c r="D159" s="54"/>
      <c r="E159" s="54"/>
      <c r="F159" s="54"/>
      <c r="G159" s="54"/>
      <c r="H159" s="54"/>
      <c r="I159" s="54"/>
      <c r="J159" s="54"/>
      <c r="K159" s="54"/>
      <c r="L159" s="54"/>
    </row>
    <row r="160" spans="1:12" s="55" customFormat="1" ht="37.5" customHeight="1">
      <c r="A160" s="50" t="s">
        <v>114</v>
      </c>
      <c r="B160" s="46" t="s">
        <v>214</v>
      </c>
      <c r="C160" s="46"/>
      <c r="D160" s="54">
        <v>300</v>
      </c>
      <c r="E160" s="54">
        <v>45</v>
      </c>
      <c r="F160" s="54">
        <v>51</v>
      </c>
      <c r="G160" s="54">
        <v>70</v>
      </c>
      <c r="H160" s="54">
        <f>51+70+15.8+38.62+30</f>
        <v>205.42000000000002</v>
      </c>
      <c r="I160" s="54">
        <v>3000</v>
      </c>
      <c r="J160" s="54">
        <v>500</v>
      </c>
      <c r="K160" s="54">
        <v>700</v>
      </c>
      <c r="L160" s="54">
        <v>110</v>
      </c>
    </row>
    <row r="161" spans="1:12" ht="15">
      <c r="A161" s="7"/>
      <c r="D161" s="17"/>
      <c r="E161" s="17"/>
      <c r="F161" s="17"/>
      <c r="G161" s="17"/>
      <c r="H161" s="17"/>
      <c r="I161" s="17"/>
      <c r="J161" s="17"/>
      <c r="K161" s="17"/>
      <c r="L161" s="17"/>
    </row>
    <row r="162" spans="1:12" ht="15.75">
      <c r="A162" s="10"/>
      <c r="B162" s="11" t="s">
        <v>35</v>
      </c>
      <c r="C162" s="12"/>
      <c r="D162" s="24">
        <f aca="true" t="shared" si="7" ref="D162:L162">SUBTOTAL(9,D150:D161)</f>
        <v>2039</v>
      </c>
      <c r="E162" s="24">
        <f t="shared" si="7"/>
        <v>408.55</v>
      </c>
      <c r="F162" s="24">
        <f t="shared" si="7"/>
        <v>196.32999999999998</v>
      </c>
      <c r="G162" s="24">
        <f t="shared" si="7"/>
        <v>192.13</v>
      </c>
      <c r="H162" s="24">
        <f t="shared" si="7"/>
        <v>699.47</v>
      </c>
      <c r="I162" s="24">
        <f t="shared" si="7"/>
        <v>8225</v>
      </c>
      <c r="J162" s="24">
        <f t="shared" si="7"/>
        <v>1670.72</v>
      </c>
      <c r="K162" s="24">
        <f t="shared" si="7"/>
        <v>1785</v>
      </c>
      <c r="L162" s="24">
        <f t="shared" si="7"/>
        <v>349.74</v>
      </c>
    </row>
    <row r="163" spans="1:12" ht="15">
      <c r="A163" s="7"/>
      <c r="D163" s="17"/>
      <c r="E163" s="17"/>
      <c r="F163" s="17"/>
      <c r="G163" s="17"/>
      <c r="H163" s="17"/>
      <c r="I163" s="17"/>
      <c r="J163" s="17"/>
      <c r="K163" s="17"/>
      <c r="L163" s="17"/>
    </row>
    <row r="164" spans="1:12" ht="15.75">
      <c r="A164" s="7"/>
      <c r="B164" s="13" t="s">
        <v>110</v>
      </c>
      <c r="D164" s="17"/>
      <c r="E164" s="17"/>
      <c r="F164" s="17"/>
      <c r="G164" s="17"/>
      <c r="H164" s="17"/>
      <c r="I164" s="17"/>
      <c r="J164" s="17"/>
      <c r="K164" s="17"/>
      <c r="L164" s="17"/>
    </row>
    <row r="165" spans="1:12" s="63" customFormat="1" ht="48.75" customHeight="1">
      <c r="A165" s="50" t="s">
        <v>115</v>
      </c>
      <c r="B165" s="46" t="s">
        <v>215</v>
      </c>
      <c r="C165" s="46"/>
      <c r="D165" s="61">
        <v>70</v>
      </c>
      <c r="E165" s="61">
        <v>7</v>
      </c>
      <c r="F165" s="62">
        <v>0</v>
      </c>
      <c r="G165" s="62">
        <v>9</v>
      </c>
      <c r="H165" s="62">
        <f>9+2.33+3+3.13</f>
        <v>17.46</v>
      </c>
      <c r="I165" s="62">
        <v>1000</v>
      </c>
      <c r="J165" s="62">
        <v>100</v>
      </c>
      <c r="K165" s="62">
        <v>200</v>
      </c>
      <c r="L165" s="62">
        <v>20</v>
      </c>
    </row>
    <row r="166" spans="1:12" ht="15">
      <c r="A166" s="7"/>
      <c r="D166" s="17"/>
      <c r="E166" s="17"/>
      <c r="F166" s="17"/>
      <c r="G166" s="17"/>
      <c r="H166" s="17"/>
      <c r="I166" s="17"/>
      <c r="J166" s="17"/>
      <c r="K166" s="17"/>
      <c r="L166" s="17"/>
    </row>
    <row r="167" spans="1:12" ht="15.75">
      <c r="A167" s="7"/>
      <c r="B167" s="13" t="s">
        <v>112</v>
      </c>
      <c r="D167" s="17"/>
      <c r="E167" s="17"/>
      <c r="F167" s="17"/>
      <c r="G167" s="17"/>
      <c r="H167" s="17"/>
      <c r="I167" s="17"/>
      <c r="J167" s="17"/>
      <c r="K167" s="17"/>
      <c r="L167" s="17"/>
    </row>
    <row r="168" spans="1:12" s="55" customFormat="1" ht="48" customHeight="1">
      <c r="A168" s="50" t="s">
        <v>116</v>
      </c>
      <c r="B168" s="46" t="s">
        <v>216</v>
      </c>
      <c r="C168" s="46"/>
      <c r="D168" s="54">
        <v>300</v>
      </c>
      <c r="E168" s="54">
        <v>300</v>
      </c>
      <c r="F168" s="54">
        <v>155.6</v>
      </c>
      <c r="G168" s="54">
        <v>166</v>
      </c>
      <c r="H168" s="54">
        <v>621</v>
      </c>
      <c r="I168" s="54">
        <v>1351</v>
      </c>
      <c r="J168" s="54">
        <v>1351</v>
      </c>
      <c r="K168" s="54">
        <v>283</v>
      </c>
      <c r="L168" s="54">
        <v>283</v>
      </c>
    </row>
    <row r="169" spans="1:12" ht="15">
      <c r="A169" s="7"/>
      <c r="B169" s="59"/>
      <c r="C169" s="59"/>
      <c r="D169" s="17"/>
      <c r="E169" s="17"/>
      <c r="F169" s="17"/>
      <c r="G169" s="17"/>
      <c r="H169" s="17"/>
      <c r="I169" s="17"/>
      <c r="J169" s="17"/>
      <c r="K169" s="17"/>
      <c r="L169" s="17"/>
    </row>
    <row r="170" spans="1:12" s="55" customFormat="1" ht="51" customHeight="1">
      <c r="A170" s="50" t="s">
        <v>117</v>
      </c>
      <c r="B170" s="46" t="s">
        <v>217</v>
      </c>
      <c r="C170" s="46"/>
      <c r="D170" s="54">
        <v>200</v>
      </c>
      <c r="E170" s="54">
        <v>200</v>
      </c>
      <c r="F170" s="54">
        <v>99.38</v>
      </c>
      <c r="G170" s="54">
        <v>93.3</v>
      </c>
      <c r="H170" s="54">
        <v>392.63</v>
      </c>
      <c r="I170" s="54">
        <v>641</v>
      </c>
      <c r="J170" s="54">
        <v>641</v>
      </c>
      <c r="K170" s="54">
        <v>135</v>
      </c>
      <c r="L170" s="54">
        <v>135</v>
      </c>
    </row>
    <row r="171" spans="1:12" ht="15">
      <c r="A171" s="7"/>
      <c r="B171" s="59"/>
      <c r="C171" s="59"/>
      <c r="D171" s="17"/>
      <c r="E171" s="17"/>
      <c r="F171" s="17"/>
      <c r="G171" s="17"/>
      <c r="H171" s="17"/>
      <c r="I171" s="17"/>
      <c r="J171" s="17"/>
      <c r="K171" s="17"/>
      <c r="L171" s="17"/>
    </row>
    <row r="172" spans="1:12" s="55" customFormat="1" ht="35.25" customHeight="1">
      <c r="A172" s="50" t="s">
        <v>252</v>
      </c>
      <c r="B172" s="46" t="s">
        <v>218</v>
      </c>
      <c r="C172" s="46"/>
      <c r="D172" s="53">
        <v>240</v>
      </c>
      <c r="E172" s="53">
        <v>120</v>
      </c>
      <c r="F172" s="54">
        <v>85.53</v>
      </c>
      <c r="G172" s="54">
        <v>90.5</v>
      </c>
      <c r="H172" s="54">
        <f>90.5+85.53+81.75+89+89</f>
        <v>435.78</v>
      </c>
      <c r="I172" s="54">
        <v>2698</v>
      </c>
      <c r="J172" s="54">
        <v>1349</v>
      </c>
      <c r="K172" s="54">
        <v>450</v>
      </c>
      <c r="L172" s="54">
        <v>200</v>
      </c>
    </row>
    <row r="173" spans="1:3" ht="15">
      <c r="A173" s="7"/>
      <c r="B173" s="59"/>
      <c r="C173" s="59"/>
    </row>
    <row r="174" spans="1:12" s="55" customFormat="1" ht="24.75" customHeight="1">
      <c r="A174" s="50" t="s">
        <v>118</v>
      </c>
      <c r="B174" s="56" t="s">
        <v>181</v>
      </c>
      <c r="C174" s="56"/>
      <c r="D174" s="53">
        <v>700</v>
      </c>
      <c r="E174" s="53">
        <v>105</v>
      </c>
      <c r="F174" s="54">
        <v>30</v>
      </c>
      <c r="G174" s="54">
        <v>31</v>
      </c>
      <c r="H174" s="54">
        <f>61+27.27+21.9+34</f>
        <v>144.17</v>
      </c>
      <c r="I174" s="54">
        <v>1165</v>
      </c>
      <c r="J174" s="54">
        <v>205</v>
      </c>
      <c r="K174" s="54">
        <v>245</v>
      </c>
      <c r="L174" s="54">
        <f>245/7</f>
        <v>35</v>
      </c>
    </row>
    <row r="175" spans="1:12" ht="15">
      <c r="A175" s="7"/>
      <c r="B175" s="59"/>
      <c r="C175" s="59"/>
      <c r="D175" s="17"/>
      <c r="E175" s="17"/>
      <c r="F175" s="17"/>
      <c r="G175" s="17"/>
      <c r="H175" s="17"/>
      <c r="I175" s="17"/>
      <c r="J175" s="17"/>
      <c r="K175" s="17"/>
      <c r="L175" s="17"/>
    </row>
    <row r="176" spans="1:12" ht="15">
      <c r="A176" s="7" t="s">
        <v>119</v>
      </c>
      <c r="B176" s="46" t="s">
        <v>219</v>
      </c>
      <c r="C176" s="46"/>
      <c r="D176" s="17">
        <v>375</v>
      </c>
      <c r="E176" s="17">
        <v>56.25</v>
      </c>
      <c r="F176" s="17">
        <v>25</v>
      </c>
      <c r="G176" s="17">
        <v>32</v>
      </c>
      <c r="H176" s="17">
        <f>32+25+9.75+10.65+18.15</f>
        <v>95.55000000000001</v>
      </c>
      <c r="I176" s="17">
        <v>3317</v>
      </c>
      <c r="J176" s="17">
        <v>473</v>
      </c>
      <c r="K176" s="17">
        <v>615</v>
      </c>
      <c r="L176" s="17">
        <v>87</v>
      </c>
    </row>
    <row r="177" spans="1:12" ht="15">
      <c r="A177" s="7"/>
      <c r="B177" s="59"/>
      <c r="C177" s="59"/>
      <c r="D177" s="17"/>
      <c r="E177" s="17"/>
      <c r="F177" s="17"/>
      <c r="G177" s="17"/>
      <c r="H177" s="17"/>
      <c r="I177" s="17"/>
      <c r="J177" s="17"/>
      <c r="K177" s="17"/>
      <c r="L177" s="17"/>
    </row>
    <row r="178" spans="1:12" ht="15">
      <c r="A178" s="7" t="s">
        <v>253</v>
      </c>
      <c r="B178" s="46" t="s">
        <v>220</v>
      </c>
      <c r="C178" s="46"/>
      <c r="D178" s="17">
        <v>100</v>
      </c>
      <c r="E178" s="17">
        <v>30.02</v>
      </c>
      <c r="F178" s="17">
        <v>7.02</v>
      </c>
      <c r="G178" s="17">
        <v>7.04</v>
      </c>
      <c r="H178" s="17">
        <f>14.06+1.5+1.8+11.9</f>
        <v>29.259999999999998</v>
      </c>
      <c r="I178" s="17">
        <v>450</v>
      </c>
      <c r="J178" s="17">
        <f>+I178/7</f>
        <v>64.28571428571429</v>
      </c>
      <c r="K178" s="17">
        <v>50</v>
      </c>
      <c r="L178" s="17">
        <v>7</v>
      </c>
    </row>
    <row r="179" spans="1:12" ht="15">
      <c r="A179" s="7"/>
      <c r="B179" s="59"/>
      <c r="C179" s="59"/>
      <c r="D179" s="17"/>
      <c r="E179" s="17"/>
      <c r="F179" s="17"/>
      <c r="G179" s="17"/>
      <c r="H179" s="17"/>
      <c r="I179" s="17"/>
      <c r="J179" s="17"/>
      <c r="K179" s="17"/>
      <c r="L179" s="17"/>
    </row>
    <row r="180" spans="1:12" ht="15">
      <c r="A180" s="7" t="s">
        <v>120</v>
      </c>
      <c r="B180" s="60" t="s">
        <v>221</v>
      </c>
      <c r="C180" s="60"/>
      <c r="D180" s="17">
        <v>950</v>
      </c>
      <c r="E180" s="17">
        <v>285</v>
      </c>
      <c r="F180" s="17">
        <v>36</v>
      </c>
      <c r="G180" s="17">
        <v>70</v>
      </c>
      <c r="H180" s="17">
        <f>36+70+26.4+27.6+56</f>
        <v>216</v>
      </c>
      <c r="I180" s="17">
        <v>1541</v>
      </c>
      <c r="J180" s="17">
        <f>+I180/7</f>
        <v>220.14285714285714</v>
      </c>
      <c r="K180" s="17">
        <v>313</v>
      </c>
      <c r="L180" s="17">
        <f>+K180/7</f>
        <v>44.714285714285715</v>
      </c>
    </row>
    <row r="181" spans="1:12" ht="15">
      <c r="A181" s="7"/>
      <c r="B181" s="59"/>
      <c r="C181" s="59"/>
      <c r="D181" s="17"/>
      <c r="E181" s="17"/>
      <c r="F181" s="17"/>
      <c r="G181" s="17"/>
      <c r="H181" s="17"/>
      <c r="I181" s="17"/>
      <c r="J181" s="17"/>
      <c r="K181" s="17"/>
      <c r="L181" s="17"/>
    </row>
    <row r="182" spans="1:12" ht="15">
      <c r="A182" s="7" t="s">
        <v>121</v>
      </c>
      <c r="B182" s="46" t="s">
        <v>222</v>
      </c>
      <c r="C182" s="46"/>
      <c r="D182" s="17">
        <v>230</v>
      </c>
      <c r="E182" s="17">
        <v>23</v>
      </c>
      <c r="F182" s="17">
        <v>15.56</v>
      </c>
      <c r="G182" s="17">
        <v>18.68</v>
      </c>
      <c r="H182" s="17">
        <f>15.56+18.68+6.7+9.98+11.45</f>
        <v>62.370000000000005</v>
      </c>
      <c r="I182" s="17">
        <v>787</v>
      </c>
      <c r="J182" s="17">
        <v>78.7</v>
      </c>
      <c r="K182" s="17">
        <v>165</v>
      </c>
      <c r="L182" s="17">
        <v>16.5</v>
      </c>
    </row>
    <row r="183" spans="1:12" ht="15">
      <c r="A183" s="7"/>
      <c r="B183" s="59"/>
      <c r="C183" s="59"/>
      <c r="D183" s="17"/>
      <c r="E183" s="17"/>
      <c r="F183" s="17"/>
      <c r="G183" s="17"/>
      <c r="H183" s="17"/>
      <c r="I183" s="17"/>
      <c r="J183" s="17"/>
      <c r="K183" s="17"/>
      <c r="L183" s="17"/>
    </row>
    <row r="184" spans="1:12" ht="15">
      <c r="A184" s="7" t="s">
        <v>122</v>
      </c>
      <c r="B184" s="46" t="s">
        <v>223</v>
      </c>
      <c r="C184" s="46"/>
      <c r="D184" s="19">
        <v>75</v>
      </c>
      <c r="E184" s="19">
        <v>22.5</v>
      </c>
      <c r="F184" s="17">
        <v>4.5</v>
      </c>
      <c r="G184" s="17">
        <v>4</v>
      </c>
      <c r="H184" s="17">
        <f>8.5+3.89+3.9</f>
        <v>16.29</v>
      </c>
      <c r="I184" s="17">
        <v>100</v>
      </c>
      <c r="J184" s="17">
        <v>33</v>
      </c>
      <c r="K184" s="17">
        <v>20</v>
      </c>
      <c r="L184" s="17">
        <v>7</v>
      </c>
    </row>
    <row r="185" spans="1:12" ht="15">
      <c r="A185" s="7"/>
      <c r="B185" s="59"/>
      <c r="C185" s="59"/>
      <c r="D185" s="17"/>
      <c r="E185" s="17"/>
      <c r="F185" s="17"/>
      <c r="G185" s="17"/>
      <c r="H185" s="17"/>
      <c r="I185" s="17"/>
      <c r="J185" s="17"/>
      <c r="K185" s="17"/>
      <c r="L185" s="17"/>
    </row>
    <row r="186" spans="1:12" ht="15">
      <c r="A186" s="7" t="s">
        <v>123</v>
      </c>
      <c r="B186" s="46" t="s">
        <v>224</v>
      </c>
      <c r="C186" s="46"/>
      <c r="D186" s="19">
        <v>120</v>
      </c>
      <c r="E186" s="19">
        <v>36</v>
      </c>
      <c r="F186" s="17">
        <v>11</v>
      </c>
      <c r="G186" s="17">
        <v>12</v>
      </c>
      <c r="H186" s="17">
        <f>11+12+8.94+8.94+14</f>
        <v>54.879999999999995</v>
      </c>
      <c r="I186" s="17">
        <v>2300</v>
      </c>
      <c r="J186" s="17">
        <f>2300/4</f>
        <v>575</v>
      </c>
      <c r="K186" s="17">
        <v>160</v>
      </c>
      <c r="L186" s="17">
        <v>40</v>
      </c>
    </row>
    <row r="187" spans="1:12" ht="15">
      <c r="A187" s="7"/>
      <c r="B187" s="59"/>
      <c r="C187" s="59"/>
      <c r="D187" s="17"/>
      <c r="E187" s="17"/>
      <c r="F187" s="17"/>
      <c r="G187" s="17"/>
      <c r="H187" s="17"/>
      <c r="I187" s="17"/>
      <c r="J187" s="17"/>
      <c r="K187" s="17"/>
      <c r="L187" s="17"/>
    </row>
    <row r="188" spans="1:12" ht="15">
      <c r="A188" s="7" t="s">
        <v>126</v>
      </c>
      <c r="B188" s="59" t="s">
        <v>124</v>
      </c>
      <c r="C188" s="59"/>
      <c r="D188" s="19">
        <v>475</v>
      </c>
      <c r="E188" s="19">
        <v>156.75</v>
      </c>
      <c r="F188" s="17">
        <v>103</v>
      </c>
      <c r="G188" s="17">
        <v>105</v>
      </c>
      <c r="H188" s="17">
        <f>208+49+49+79</f>
        <v>385</v>
      </c>
      <c r="I188" s="17">
        <v>2000</v>
      </c>
      <c r="J188" s="17">
        <v>700</v>
      </c>
      <c r="K188" s="17">
        <v>226</v>
      </c>
      <c r="L188" s="17">
        <v>72</v>
      </c>
    </row>
    <row r="189" spans="1:12" ht="15">
      <c r="A189" s="7"/>
      <c r="D189" s="17"/>
      <c r="E189" s="17"/>
      <c r="F189" s="17"/>
      <c r="G189" s="17"/>
      <c r="H189" s="17"/>
      <c r="I189" s="17"/>
      <c r="J189" s="17"/>
      <c r="K189" s="17"/>
      <c r="L189" s="17"/>
    </row>
    <row r="190" spans="1:12" ht="15.75">
      <c r="A190" s="10"/>
      <c r="B190" s="11" t="s">
        <v>35</v>
      </c>
      <c r="C190" s="12"/>
      <c r="D190" s="24">
        <f>SUBTOTAL(9,D168:D189)</f>
        <v>3765</v>
      </c>
      <c r="E190" s="24">
        <f aca="true" t="shared" si="8" ref="E190:L190">SUBTOTAL(9,E168:E189)</f>
        <v>1334.52</v>
      </c>
      <c r="F190" s="24">
        <f t="shared" si="8"/>
        <v>572.5899999999999</v>
      </c>
      <c r="G190" s="24">
        <f t="shared" si="8"/>
        <v>629.52</v>
      </c>
      <c r="H190" s="24">
        <f t="shared" si="8"/>
        <v>2452.93</v>
      </c>
      <c r="I190" s="24">
        <f t="shared" si="8"/>
        <v>16350</v>
      </c>
      <c r="J190" s="24">
        <f t="shared" si="8"/>
        <v>5690.128571428571</v>
      </c>
      <c r="K190" s="24">
        <f t="shared" si="8"/>
        <v>2662</v>
      </c>
      <c r="L190" s="24">
        <f t="shared" si="8"/>
        <v>927.2142857142857</v>
      </c>
    </row>
    <row r="191" spans="1:12" ht="15">
      <c r="A191" s="7"/>
      <c r="D191" s="17"/>
      <c r="E191" s="17"/>
      <c r="F191" s="17"/>
      <c r="G191" s="17"/>
      <c r="H191" s="17"/>
      <c r="I191" s="17"/>
      <c r="J191" s="17"/>
      <c r="K191" s="17"/>
      <c r="L191" s="17"/>
    </row>
    <row r="192" spans="1:12" ht="15.75">
      <c r="A192" s="7"/>
      <c r="B192" s="16" t="s">
        <v>125</v>
      </c>
      <c r="D192" s="17"/>
      <c r="E192" s="17"/>
      <c r="F192" s="17"/>
      <c r="G192" s="17"/>
      <c r="H192" s="17"/>
      <c r="I192" s="17"/>
      <c r="J192" s="17"/>
      <c r="K192" s="17"/>
      <c r="L192" s="17"/>
    </row>
    <row r="193" spans="1:12" s="55" customFormat="1" ht="63.75" customHeight="1">
      <c r="A193" s="50" t="s">
        <v>127</v>
      </c>
      <c r="B193" s="46" t="s">
        <v>225</v>
      </c>
      <c r="C193" s="46"/>
      <c r="D193" s="53">
        <v>35</v>
      </c>
      <c r="E193" s="53">
        <v>5.25</v>
      </c>
      <c r="F193" s="54">
        <v>1.25</v>
      </c>
      <c r="G193" s="54">
        <v>2</v>
      </c>
      <c r="H193" s="54">
        <f>3.25+0.75+2.5+1.13</f>
        <v>7.63</v>
      </c>
      <c r="I193" s="54">
        <v>218</v>
      </c>
      <c r="J193" s="54">
        <v>31</v>
      </c>
      <c r="K193" s="54">
        <v>16</v>
      </c>
      <c r="L193" s="54">
        <v>2.2</v>
      </c>
    </row>
    <row r="194" spans="1:12" ht="15">
      <c r="A194" s="7"/>
      <c r="D194" s="17"/>
      <c r="E194" s="17"/>
      <c r="F194" s="17"/>
      <c r="G194" s="17"/>
      <c r="H194" s="17"/>
      <c r="I194" s="17"/>
      <c r="J194" s="17"/>
      <c r="K194" s="17"/>
      <c r="L194" s="17"/>
    </row>
    <row r="195" spans="1:12" ht="15">
      <c r="A195" s="7" t="s">
        <v>128</v>
      </c>
      <c r="B195" s="9" t="s">
        <v>226</v>
      </c>
      <c r="D195" s="17">
        <v>139.2</v>
      </c>
      <c r="E195" s="17">
        <v>105</v>
      </c>
      <c r="F195" s="17">
        <v>16</v>
      </c>
      <c r="G195" s="17">
        <v>20</v>
      </c>
      <c r="H195" s="17">
        <v>105</v>
      </c>
      <c r="I195" s="17">
        <v>418.4</v>
      </c>
      <c r="J195" s="17">
        <v>167.2</v>
      </c>
      <c r="K195" s="17">
        <v>50.46</v>
      </c>
      <c r="L195" s="17">
        <v>20.18</v>
      </c>
    </row>
    <row r="196" spans="1:12" ht="15">
      <c r="A196" s="7"/>
      <c r="D196" s="17"/>
      <c r="E196" s="17"/>
      <c r="F196" s="17"/>
      <c r="G196" s="17"/>
      <c r="H196" s="17"/>
      <c r="I196" s="17"/>
      <c r="J196" s="17"/>
      <c r="K196" s="17"/>
      <c r="L196" s="17"/>
    </row>
    <row r="197" spans="1:12" ht="15">
      <c r="A197" s="7" t="s">
        <v>129</v>
      </c>
      <c r="B197" s="1" t="s">
        <v>182</v>
      </c>
      <c r="D197" s="17">
        <v>87.44</v>
      </c>
      <c r="E197" s="17">
        <v>28</v>
      </c>
      <c r="F197" s="17">
        <v>11.5</v>
      </c>
      <c r="G197" s="17">
        <v>12</v>
      </c>
      <c r="H197" s="17">
        <v>32</v>
      </c>
      <c r="I197" s="17">
        <v>202.37</v>
      </c>
      <c r="J197" s="17">
        <v>80.95</v>
      </c>
      <c r="K197" s="17">
        <v>37.37</v>
      </c>
      <c r="L197" s="17">
        <v>14.95</v>
      </c>
    </row>
    <row r="198" spans="1:12" ht="15">
      <c r="A198" s="7"/>
      <c r="D198" s="17"/>
      <c r="E198" s="17"/>
      <c r="F198" s="17"/>
      <c r="G198" s="17"/>
      <c r="H198" s="17"/>
      <c r="I198" s="17"/>
      <c r="J198" s="17"/>
      <c r="K198" s="17"/>
      <c r="L198" s="17"/>
    </row>
    <row r="199" spans="1:12" ht="15">
      <c r="A199" s="7"/>
      <c r="D199" s="17"/>
      <c r="E199" s="17"/>
      <c r="F199" s="17"/>
      <c r="G199" s="17"/>
      <c r="H199" s="17"/>
      <c r="I199" s="17"/>
      <c r="J199" s="17"/>
      <c r="K199" s="17"/>
      <c r="L199" s="17"/>
    </row>
    <row r="200" spans="1:12" ht="15">
      <c r="A200" s="7" t="s">
        <v>131</v>
      </c>
      <c r="B200" s="1" t="s">
        <v>130</v>
      </c>
      <c r="D200" s="17">
        <v>1006</v>
      </c>
      <c r="E200" s="17">
        <v>302</v>
      </c>
      <c r="F200" s="17">
        <v>78</v>
      </c>
      <c r="G200" s="17">
        <v>85</v>
      </c>
      <c r="H200" s="17">
        <v>350</v>
      </c>
      <c r="I200" s="17">
        <v>1238</v>
      </c>
      <c r="J200" s="17">
        <v>380</v>
      </c>
      <c r="K200" s="17">
        <v>445.06</v>
      </c>
      <c r="L200" s="17">
        <v>108.02</v>
      </c>
    </row>
    <row r="201" spans="1:12" ht="15">
      <c r="A201" s="7"/>
      <c r="D201" s="17"/>
      <c r="E201" s="17"/>
      <c r="F201" s="17"/>
      <c r="G201" s="17"/>
      <c r="H201" s="17"/>
      <c r="I201" s="17"/>
      <c r="J201" s="17"/>
      <c r="K201" s="17"/>
      <c r="L201" s="17"/>
    </row>
    <row r="202" spans="1:12" ht="30" customHeight="1">
      <c r="A202" s="7" t="s">
        <v>132</v>
      </c>
      <c r="B202" s="35" t="s">
        <v>227</v>
      </c>
      <c r="C202" s="35"/>
      <c r="D202" s="19">
        <v>400</v>
      </c>
      <c r="E202" s="19">
        <v>120</v>
      </c>
      <c r="F202" s="17">
        <v>20</v>
      </c>
      <c r="G202" s="17">
        <v>45</v>
      </c>
      <c r="H202" s="17">
        <f>65+17.8+16.8+17.7</f>
        <v>117.3</v>
      </c>
      <c r="I202" s="17">
        <v>2781</v>
      </c>
      <c r="J202" s="17">
        <f>+I202/4</f>
        <v>695.25</v>
      </c>
      <c r="K202" s="17">
        <v>529</v>
      </c>
      <c r="L202" s="17">
        <f>+K202/4</f>
        <v>132.25</v>
      </c>
    </row>
    <row r="203" spans="1:12" ht="15">
      <c r="A203" s="7"/>
      <c r="D203" s="17"/>
      <c r="E203" s="17"/>
      <c r="F203" s="17"/>
      <c r="G203" s="17"/>
      <c r="H203" s="17"/>
      <c r="I203" s="17"/>
      <c r="J203" s="17"/>
      <c r="K203" s="17"/>
      <c r="L203" s="17"/>
    </row>
    <row r="204" spans="1:12" s="55" customFormat="1" ht="24" customHeight="1">
      <c r="A204" s="50" t="s">
        <v>254</v>
      </c>
      <c r="B204" s="46" t="s">
        <v>228</v>
      </c>
      <c r="C204" s="46"/>
      <c r="D204" s="53">
        <v>15</v>
      </c>
      <c r="E204" s="53">
        <v>4.5</v>
      </c>
      <c r="F204" s="54">
        <v>1.5</v>
      </c>
      <c r="G204" s="54">
        <v>1.5</v>
      </c>
      <c r="H204" s="54">
        <v>6</v>
      </c>
      <c r="I204" s="54">
        <v>43.65</v>
      </c>
      <c r="J204" s="54">
        <v>10.91</v>
      </c>
      <c r="K204" s="54">
        <v>16</v>
      </c>
      <c r="L204" s="54">
        <v>4</v>
      </c>
    </row>
    <row r="205" spans="1:12" ht="15">
      <c r="A205" s="7"/>
      <c r="D205" s="17"/>
      <c r="E205" s="17"/>
      <c r="F205" s="17"/>
      <c r="G205" s="17"/>
      <c r="H205" s="17"/>
      <c r="I205" s="17"/>
      <c r="J205" s="17"/>
      <c r="K205" s="17"/>
      <c r="L205" s="17"/>
    </row>
    <row r="206" spans="1:12" s="55" customFormat="1" ht="32.25" customHeight="1">
      <c r="A206" s="50" t="s">
        <v>133</v>
      </c>
      <c r="B206" s="46" t="s">
        <v>229</v>
      </c>
      <c r="C206" s="46"/>
      <c r="D206" s="53">
        <v>7.5</v>
      </c>
      <c r="E206" s="53">
        <v>2.25</v>
      </c>
      <c r="F206" s="54">
        <v>0</v>
      </c>
      <c r="G206" s="54">
        <v>5</v>
      </c>
      <c r="H206" s="54">
        <f>5+2.25</f>
        <v>7.25</v>
      </c>
      <c r="I206" s="54">
        <v>2000</v>
      </c>
      <c r="J206" s="54">
        <v>325</v>
      </c>
      <c r="K206" s="54">
        <v>530</v>
      </c>
      <c r="L206" s="54">
        <v>75</v>
      </c>
    </row>
    <row r="207" spans="1:12" ht="15">
      <c r="A207" s="7"/>
      <c r="D207" s="17"/>
      <c r="E207" s="17"/>
      <c r="F207" s="17"/>
      <c r="G207" s="17"/>
      <c r="H207" s="17"/>
      <c r="I207" s="17"/>
      <c r="J207" s="17"/>
      <c r="K207" s="17"/>
      <c r="L207" s="17"/>
    </row>
    <row r="208" spans="1:12" ht="15.75">
      <c r="A208" s="10"/>
      <c r="B208" s="11" t="s">
        <v>35</v>
      </c>
      <c r="C208" s="12"/>
      <c r="D208" s="24">
        <f aca="true" t="shared" si="9" ref="D208:L208">SUBTOTAL(9,D193:D207)</f>
        <v>1690.1399999999999</v>
      </c>
      <c r="E208" s="24">
        <f t="shared" si="9"/>
        <v>567</v>
      </c>
      <c r="F208" s="24">
        <f t="shared" si="9"/>
        <v>128.25</v>
      </c>
      <c r="G208" s="24">
        <f t="shared" si="9"/>
        <v>170.5</v>
      </c>
      <c r="H208" s="24">
        <f t="shared" si="9"/>
        <v>625.18</v>
      </c>
      <c r="I208" s="24">
        <f t="shared" si="9"/>
        <v>6901.42</v>
      </c>
      <c r="J208" s="24">
        <f t="shared" si="9"/>
        <v>1690.3100000000002</v>
      </c>
      <c r="K208" s="24">
        <f t="shared" si="9"/>
        <v>1623.8899999999999</v>
      </c>
      <c r="L208" s="24">
        <f t="shared" si="9"/>
        <v>356.6</v>
      </c>
    </row>
    <row r="209" spans="1:12" ht="15">
      <c r="A209" s="7"/>
      <c r="D209" s="17"/>
      <c r="E209" s="17"/>
      <c r="F209" s="17"/>
      <c r="G209" s="17"/>
      <c r="H209" s="17"/>
      <c r="I209" s="17"/>
      <c r="J209" s="17"/>
      <c r="K209" s="17"/>
      <c r="L209" s="17"/>
    </row>
    <row r="210" spans="1:12" ht="15.75">
      <c r="A210" s="7"/>
      <c r="B210" s="13" t="s">
        <v>134</v>
      </c>
      <c r="D210" s="17"/>
      <c r="E210" s="17"/>
      <c r="F210" s="17"/>
      <c r="G210" s="17"/>
      <c r="H210" s="17"/>
      <c r="I210" s="17"/>
      <c r="J210" s="17"/>
      <c r="K210" s="17"/>
      <c r="L210" s="17"/>
    </row>
    <row r="211" spans="1:12" ht="15">
      <c r="A211" s="7"/>
      <c r="B211" s="15"/>
      <c r="D211" s="17"/>
      <c r="E211" s="17"/>
      <c r="F211" s="17"/>
      <c r="G211" s="17"/>
      <c r="H211" s="17"/>
      <c r="I211" s="17"/>
      <c r="J211" s="17"/>
      <c r="K211" s="17"/>
      <c r="L211" s="17"/>
    </row>
    <row r="212" spans="1:12" s="55" customFormat="1" ht="33.75" customHeight="1">
      <c r="A212" s="50" t="s">
        <v>135</v>
      </c>
      <c r="B212" s="46" t="s">
        <v>230</v>
      </c>
      <c r="C212" s="46"/>
      <c r="D212" s="53">
        <v>150</v>
      </c>
      <c r="E212" s="31">
        <v>30</v>
      </c>
      <c r="F212" s="54">
        <v>7</v>
      </c>
      <c r="G212" s="54">
        <v>7.5</v>
      </c>
      <c r="H212" s="54">
        <f>14.5+10.87+9.66+11</f>
        <v>46.03</v>
      </c>
      <c r="I212" s="54">
        <v>450</v>
      </c>
      <c r="J212" s="54">
        <v>90</v>
      </c>
      <c r="K212" s="54">
        <v>150</v>
      </c>
      <c r="L212" s="54">
        <v>30</v>
      </c>
    </row>
    <row r="213" spans="1:12" ht="15">
      <c r="A213" s="7"/>
      <c r="D213" s="17"/>
      <c r="E213" s="17"/>
      <c r="F213" s="17"/>
      <c r="G213" s="17"/>
      <c r="H213" s="17"/>
      <c r="I213" s="17"/>
      <c r="J213" s="17"/>
      <c r="K213" s="17"/>
      <c r="L213" s="17"/>
    </row>
    <row r="214" spans="1:12" ht="15">
      <c r="A214" s="7" t="s">
        <v>136</v>
      </c>
      <c r="B214" s="1" t="s">
        <v>231</v>
      </c>
      <c r="D214" s="19">
        <v>750</v>
      </c>
      <c r="E214" s="20">
        <v>224.99222556235102</v>
      </c>
      <c r="F214" s="17">
        <v>420</v>
      </c>
      <c r="G214" s="17">
        <v>620</v>
      </c>
      <c r="H214" s="17">
        <f>420+620+14+211+292</f>
        <v>1557</v>
      </c>
      <c r="I214" s="17">
        <v>13000</v>
      </c>
      <c r="J214" s="17">
        <v>4020</v>
      </c>
      <c r="K214" s="17">
        <v>1350</v>
      </c>
      <c r="L214" s="17">
        <v>450</v>
      </c>
    </row>
    <row r="215" spans="1:12" ht="15">
      <c r="A215" s="7"/>
      <c r="D215" s="17"/>
      <c r="E215" s="17"/>
      <c r="F215" s="17"/>
      <c r="G215" s="17"/>
      <c r="H215" s="17"/>
      <c r="I215" s="17"/>
      <c r="J215" s="17"/>
      <c r="K215" s="17"/>
      <c r="L215" s="17"/>
    </row>
    <row r="216" spans="1:12" ht="15">
      <c r="A216" s="7" t="s">
        <v>137</v>
      </c>
      <c r="B216" s="1" t="s">
        <v>232</v>
      </c>
      <c r="D216" s="19">
        <v>3.25</v>
      </c>
      <c r="E216" s="20">
        <v>1.08</v>
      </c>
      <c r="F216" s="17">
        <v>0.4</v>
      </c>
      <c r="G216" s="17">
        <v>2</v>
      </c>
      <c r="H216" s="17">
        <f>2.4+0.4+0.2</f>
        <v>3</v>
      </c>
      <c r="I216" s="17">
        <v>4</v>
      </c>
      <c r="J216" s="17">
        <v>2</v>
      </c>
      <c r="K216" s="17">
        <v>1</v>
      </c>
      <c r="L216" s="17">
        <v>0.5</v>
      </c>
    </row>
    <row r="217" spans="1:12" ht="15">
      <c r="A217" s="7"/>
      <c r="D217" s="17"/>
      <c r="E217" s="17"/>
      <c r="F217" s="17"/>
      <c r="G217" s="17"/>
      <c r="H217" s="17"/>
      <c r="I217" s="17"/>
      <c r="J217" s="17"/>
      <c r="K217" s="17"/>
      <c r="L217" s="17"/>
    </row>
    <row r="218" spans="1:12" ht="15">
      <c r="A218" s="7" t="s">
        <v>138</v>
      </c>
      <c r="B218" s="1" t="s">
        <v>139</v>
      </c>
      <c r="D218" s="19">
        <v>50</v>
      </c>
      <c r="E218" s="20">
        <v>17</v>
      </c>
      <c r="F218" s="17">
        <v>3.8</v>
      </c>
      <c r="G218" s="17">
        <v>14.4</v>
      </c>
      <c r="H218" s="17">
        <f>3.8+14.4+1.46+7.44+9.8</f>
        <v>36.900000000000006</v>
      </c>
      <c r="I218" s="17">
        <v>175</v>
      </c>
      <c r="J218" s="17">
        <v>35</v>
      </c>
      <c r="K218" s="17">
        <v>65</v>
      </c>
      <c r="L218" s="17">
        <v>25</v>
      </c>
    </row>
    <row r="219" spans="1:12" ht="15">
      <c r="A219" s="7"/>
      <c r="D219" s="17"/>
      <c r="E219" s="17"/>
      <c r="F219" s="17"/>
      <c r="G219" s="17"/>
      <c r="H219" s="17"/>
      <c r="I219" s="17"/>
      <c r="J219" s="17"/>
      <c r="K219" s="17"/>
      <c r="L219" s="17"/>
    </row>
    <row r="220" spans="1:12" ht="15">
      <c r="A220" s="7" t="s">
        <v>140</v>
      </c>
      <c r="B220" s="1" t="s">
        <v>141</v>
      </c>
      <c r="D220" s="19">
        <v>175</v>
      </c>
      <c r="E220" s="20">
        <v>60</v>
      </c>
      <c r="F220" s="17">
        <v>17.44</v>
      </c>
      <c r="G220" s="17">
        <v>18.06</v>
      </c>
      <c r="H220" s="17">
        <f>18.06+17.44+12+12+12</f>
        <v>71.5</v>
      </c>
      <c r="I220" s="17">
        <v>375</v>
      </c>
      <c r="J220" s="17">
        <v>125</v>
      </c>
      <c r="K220" s="17">
        <v>72</v>
      </c>
      <c r="L220" s="17">
        <v>24</v>
      </c>
    </row>
    <row r="221" spans="1:12" ht="15">
      <c r="A221" s="7"/>
      <c r="D221" s="17"/>
      <c r="E221" s="17"/>
      <c r="F221" s="17"/>
      <c r="G221" s="17"/>
      <c r="H221" s="17"/>
      <c r="I221" s="17"/>
      <c r="J221" s="17"/>
      <c r="K221" s="17"/>
      <c r="L221" s="17"/>
    </row>
    <row r="222" spans="1:12" ht="15">
      <c r="A222" s="7" t="s">
        <v>142</v>
      </c>
      <c r="B222" s="1" t="s">
        <v>143</v>
      </c>
      <c r="D222" s="19">
        <v>5</v>
      </c>
      <c r="E222" s="20">
        <v>1</v>
      </c>
      <c r="F222" s="17">
        <v>1.2</v>
      </c>
      <c r="G222" s="17">
        <v>1.2</v>
      </c>
      <c r="H222" s="17">
        <f>2.4+0.14+0.2+0.5</f>
        <v>3.24</v>
      </c>
      <c r="I222" s="17">
        <v>25</v>
      </c>
      <c r="J222" s="17">
        <v>10</v>
      </c>
      <c r="K222" s="17">
        <v>4</v>
      </c>
      <c r="L222" s="17">
        <v>1</v>
      </c>
    </row>
    <row r="223" spans="1:12" ht="15">
      <c r="A223" s="7"/>
      <c r="D223" s="17"/>
      <c r="E223" s="17"/>
      <c r="F223" s="17"/>
      <c r="G223" s="17"/>
      <c r="H223" s="17"/>
      <c r="I223" s="17"/>
      <c r="J223" s="17"/>
      <c r="K223" s="17"/>
      <c r="L223" s="17"/>
    </row>
    <row r="224" spans="1:12" s="55" customFormat="1" ht="18" customHeight="1">
      <c r="A224" s="50" t="s">
        <v>144</v>
      </c>
      <c r="B224" s="46" t="s">
        <v>233</v>
      </c>
      <c r="C224" s="46"/>
      <c r="D224" s="53">
        <v>125</v>
      </c>
      <c r="E224" s="31">
        <v>62.5</v>
      </c>
      <c r="F224" s="54">
        <v>74</v>
      </c>
      <c r="G224" s="54">
        <v>105</v>
      </c>
      <c r="H224" s="54">
        <f>105+74+37.5+43.5+79</f>
        <v>339</v>
      </c>
      <c r="I224" s="54">
        <v>1100</v>
      </c>
      <c r="J224" s="54">
        <v>550</v>
      </c>
      <c r="K224" s="54">
        <v>210</v>
      </c>
      <c r="L224" s="54">
        <v>100</v>
      </c>
    </row>
    <row r="225" spans="1:12" ht="15">
      <c r="A225" s="7"/>
      <c r="D225" s="17"/>
      <c r="E225" s="17"/>
      <c r="F225" s="17"/>
      <c r="G225" s="17"/>
      <c r="H225" s="17"/>
      <c r="I225" s="17"/>
      <c r="J225" s="17"/>
      <c r="K225" s="17"/>
      <c r="L225" s="17"/>
    </row>
    <row r="226" spans="1:12" ht="15">
      <c r="A226" s="7" t="s">
        <v>255</v>
      </c>
      <c r="B226" s="1" t="s">
        <v>146</v>
      </c>
      <c r="D226" s="19">
        <v>100</v>
      </c>
      <c r="E226" s="20">
        <v>50</v>
      </c>
      <c r="F226" s="17">
        <v>66</v>
      </c>
      <c r="G226" s="17">
        <v>25</v>
      </c>
      <c r="H226" s="17">
        <v>97</v>
      </c>
      <c r="I226" s="17">
        <v>360</v>
      </c>
      <c r="J226" s="17">
        <v>160</v>
      </c>
      <c r="K226" s="17">
        <v>60</v>
      </c>
      <c r="L226" s="17">
        <v>25</v>
      </c>
    </row>
    <row r="227" spans="1:12" ht="15">
      <c r="A227" s="7"/>
      <c r="D227" s="17"/>
      <c r="E227" s="17"/>
      <c r="F227" s="17"/>
      <c r="G227" s="17"/>
      <c r="H227" s="17"/>
      <c r="I227" s="17"/>
      <c r="J227" s="17"/>
      <c r="K227" s="17"/>
      <c r="L227" s="17"/>
    </row>
    <row r="228" spans="1:12" ht="15">
      <c r="A228" s="7" t="s">
        <v>145</v>
      </c>
      <c r="B228" s="14" t="s">
        <v>148</v>
      </c>
      <c r="D228" s="17">
        <v>0</v>
      </c>
      <c r="E228" s="17">
        <v>0</v>
      </c>
      <c r="F228" s="17">
        <v>0</v>
      </c>
      <c r="G228" s="17">
        <v>0</v>
      </c>
      <c r="H228" s="17">
        <f>12+12+17</f>
        <v>41</v>
      </c>
      <c r="I228" s="17">
        <v>3500</v>
      </c>
      <c r="J228" s="17">
        <v>1500</v>
      </c>
      <c r="K228" s="17">
        <v>500</v>
      </c>
      <c r="L228" s="17">
        <v>160</v>
      </c>
    </row>
    <row r="229" spans="1:12" ht="15">
      <c r="A229" s="7"/>
      <c r="D229" s="17"/>
      <c r="E229" s="17"/>
      <c r="F229" s="17"/>
      <c r="G229" s="17"/>
      <c r="H229" s="17"/>
      <c r="I229" s="17"/>
      <c r="J229" s="17"/>
      <c r="K229" s="17"/>
      <c r="L229" s="17"/>
    </row>
    <row r="230" spans="1:12" ht="15.75">
      <c r="A230" s="10"/>
      <c r="B230" s="11" t="s">
        <v>35</v>
      </c>
      <c r="C230" s="12"/>
      <c r="D230" s="24">
        <f>SUBTOTAL(9,D212:D229)</f>
        <v>1358.25</v>
      </c>
      <c r="E230" s="24">
        <f aca="true" t="shared" si="10" ref="E230:L230">SUBTOTAL(9,E212:E229)</f>
        <v>446.57222556235104</v>
      </c>
      <c r="F230" s="24">
        <f t="shared" si="10"/>
        <v>589.8399999999999</v>
      </c>
      <c r="G230" s="24">
        <f t="shared" si="10"/>
        <v>793.16</v>
      </c>
      <c r="H230" s="24">
        <f t="shared" si="10"/>
        <v>2194.67</v>
      </c>
      <c r="I230" s="24">
        <f t="shared" si="10"/>
        <v>18989</v>
      </c>
      <c r="J230" s="24">
        <f t="shared" si="10"/>
        <v>6492</v>
      </c>
      <c r="K230" s="24">
        <f t="shared" si="10"/>
        <v>2412</v>
      </c>
      <c r="L230" s="24">
        <f t="shared" si="10"/>
        <v>815.5</v>
      </c>
    </row>
    <row r="231" spans="1:12" ht="15">
      <c r="A231" s="7"/>
      <c r="D231" s="17"/>
      <c r="E231" s="17"/>
      <c r="F231" s="17"/>
      <c r="G231" s="17"/>
      <c r="H231" s="17"/>
      <c r="I231" s="17"/>
      <c r="J231" s="17"/>
      <c r="K231" s="17"/>
      <c r="L231" s="17"/>
    </row>
    <row r="232" spans="1:12" ht="15.75">
      <c r="A232" s="7"/>
      <c r="B232" s="13" t="s">
        <v>149</v>
      </c>
      <c r="D232" s="17"/>
      <c r="E232" s="17"/>
      <c r="F232" s="17"/>
      <c r="G232" s="17"/>
      <c r="H232" s="17"/>
      <c r="I232" s="17"/>
      <c r="J232" s="17"/>
      <c r="K232" s="17"/>
      <c r="L232" s="17"/>
    </row>
    <row r="233" spans="1:12" ht="21" customHeight="1">
      <c r="A233" s="7" t="s">
        <v>256</v>
      </c>
      <c r="B233" s="1" t="s">
        <v>183</v>
      </c>
      <c r="D233" s="19">
        <v>219.95</v>
      </c>
      <c r="E233" s="20">
        <v>219.95</v>
      </c>
      <c r="F233" s="17">
        <v>95.79</v>
      </c>
      <c r="G233" s="17">
        <v>201.93</v>
      </c>
      <c r="H233" s="17">
        <f>201.93+95.79+65.59+132.66+33.76</f>
        <v>529.73</v>
      </c>
      <c r="I233" s="17">
        <v>1500</v>
      </c>
      <c r="J233" s="17">
        <v>1500</v>
      </c>
      <c r="K233" s="17">
        <v>300</v>
      </c>
      <c r="L233" s="17">
        <v>300</v>
      </c>
    </row>
    <row r="234" spans="1:12" ht="15">
      <c r="A234" s="7"/>
      <c r="D234" s="17"/>
      <c r="E234" s="17"/>
      <c r="F234" s="17"/>
      <c r="G234" s="17"/>
      <c r="H234" s="17"/>
      <c r="I234" s="17"/>
      <c r="J234" s="17"/>
      <c r="K234" s="17"/>
      <c r="L234" s="17"/>
    </row>
    <row r="235" spans="1:12" ht="15">
      <c r="A235" s="7" t="s">
        <v>147</v>
      </c>
      <c r="B235" s="1" t="s">
        <v>152</v>
      </c>
      <c r="D235" s="19">
        <v>500</v>
      </c>
      <c r="E235" s="20">
        <v>500</v>
      </c>
      <c r="F235" s="17">
        <v>1049</v>
      </c>
      <c r="G235" s="17">
        <v>1006</v>
      </c>
      <c r="H235" s="17">
        <f>195+349+202+1049+1006</f>
        <v>2801</v>
      </c>
      <c r="I235" s="17">
        <v>5992</v>
      </c>
      <c r="J235" s="17">
        <v>4200</v>
      </c>
      <c r="K235" s="17">
        <v>1161</v>
      </c>
      <c r="L235" s="17">
        <v>902</v>
      </c>
    </row>
    <row r="236" spans="1:12" ht="15">
      <c r="A236" s="7"/>
      <c r="D236" s="17"/>
      <c r="E236" s="17"/>
      <c r="F236" s="17"/>
      <c r="G236" s="17"/>
      <c r="H236" s="17"/>
      <c r="I236" s="17"/>
      <c r="J236" s="17"/>
      <c r="K236" s="17"/>
      <c r="L236" s="17"/>
    </row>
    <row r="237" spans="1:12" s="55" customFormat="1" ht="35.25" customHeight="1">
      <c r="A237" s="50" t="s">
        <v>150</v>
      </c>
      <c r="B237" s="56" t="s">
        <v>234</v>
      </c>
      <c r="C237" s="56"/>
      <c r="D237" s="53">
        <v>70</v>
      </c>
      <c r="E237" s="31">
        <v>70</v>
      </c>
      <c r="F237" s="54">
        <v>15</v>
      </c>
      <c r="G237" s="54">
        <v>17</v>
      </c>
      <c r="H237" s="54">
        <f>32+33+132+65</f>
        <v>262</v>
      </c>
      <c r="I237" s="54">
        <v>860</v>
      </c>
      <c r="J237" s="54">
        <v>700</v>
      </c>
      <c r="K237" s="54">
        <v>30</v>
      </c>
      <c r="L237" s="54">
        <v>20</v>
      </c>
    </row>
    <row r="238" spans="1:12" ht="15">
      <c r="A238" s="7"/>
      <c r="B238" s="9"/>
      <c r="D238" s="17"/>
      <c r="E238" s="17"/>
      <c r="F238" s="17"/>
      <c r="G238" s="17"/>
      <c r="H238" s="17"/>
      <c r="I238" s="17"/>
      <c r="J238" s="17"/>
      <c r="K238" s="17"/>
      <c r="L238" s="17"/>
    </row>
    <row r="239" spans="1:12" ht="15">
      <c r="A239" s="7" t="s">
        <v>151</v>
      </c>
      <c r="B239" s="14" t="s">
        <v>155</v>
      </c>
      <c r="D239" s="19">
        <v>5</v>
      </c>
      <c r="E239" s="20">
        <v>5</v>
      </c>
      <c r="F239" s="17">
        <v>20</v>
      </c>
      <c r="G239" s="17">
        <v>30</v>
      </c>
      <c r="H239" s="17">
        <v>50</v>
      </c>
      <c r="I239" s="17">
        <v>150</v>
      </c>
      <c r="J239" s="17">
        <v>150</v>
      </c>
      <c r="K239" s="17">
        <v>30</v>
      </c>
      <c r="L239" s="17">
        <v>30</v>
      </c>
    </row>
    <row r="240" spans="1:12" ht="15">
      <c r="A240" s="7"/>
      <c r="D240" s="17"/>
      <c r="E240" s="17"/>
      <c r="F240" s="17"/>
      <c r="G240" s="17"/>
      <c r="H240" s="17"/>
      <c r="I240" s="17"/>
      <c r="J240" s="17"/>
      <c r="K240" s="17"/>
      <c r="L240" s="17"/>
    </row>
    <row r="241" spans="1:12" ht="17.25" customHeight="1">
      <c r="A241" s="7" t="s">
        <v>153</v>
      </c>
      <c r="B241" s="1" t="s">
        <v>235</v>
      </c>
      <c r="D241" s="19">
        <v>200</v>
      </c>
      <c r="E241" s="20">
        <v>200</v>
      </c>
      <c r="F241" s="17">
        <v>10</v>
      </c>
      <c r="G241" s="17">
        <v>10</v>
      </c>
      <c r="H241" s="17">
        <f>20+5+5+8</f>
        <v>38</v>
      </c>
      <c r="I241" s="17">
        <v>50</v>
      </c>
      <c r="J241" s="17">
        <v>50</v>
      </c>
      <c r="K241" s="17">
        <v>30</v>
      </c>
      <c r="L241" s="17">
        <v>30</v>
      </c>
    </row>
    <row r="242" spans="1:12" ht="15">
      <c r="A242" s="7"/>
      <c r="D242" s="17"/>
      <c r="E242" s="17"/>
      <c r="F242" s="17"/>
      <c r="G242" s="17"/>
      <c r="H242" s="17"/>
      <c r="I242" s="17"/>
      <c r="J242" s="17"/>
      <c r="K242" s="17"/>
      <c r="L242" s="17"/>
    </row>
    <row r="243" spans="1:12" s="55" customFormat="1" ht="30.75" customHeight="1">
      <c r="A243" s="50" t="s">
        <v>257</v>
      </c>
      <c r="B243" s="56" t="s">
        <v>236</v>
      </c>
      <c r="C243" s="56"/>
      <c r="D243" s="53">
        <v>4500</v>
      </c>
      <c r="E243" s="31">
        <v>3731</v>
      </c>
      <c r="F243" s="54">
        <v>1283.12</v>
      </c>
      <c r="G243" s="54">
        <v>2088.27</v>
      </c>
      <c r="H243" s="54">
        <v>5562.2</v>
      </c>
      <c r="I243" s="54">
        <v>20000</v>
      </c>
      <c r="J243" s="54">
        <v>10000</v>
      </c>
      <c r="K243" s="54">
        <v>5755.61</v>
      </c>
      <c r="L243" s="54">
        <v>2877.8</v>
      </c>
    </row>
    <row r="244" spans="1:12" ht="15">
      <c r="A244" s="7"/>
      <c r="D244" s="17"/>
      <c r="E244" s="17"/>
      <c r="F244" s="17"/>
      <c r="G244" s="17"/>
      <c r="H244" s="17"/>
      <c r="I244" s="17"/>
      <c r="J244" s="17"/>
      <c r="K244" s="17"/>
      <c r="L244" s="17"/>
    </row>
    <row r="245" spans="1:12" ht="15">
      <c r="A245" s="7" t="s">
        <v>154</v>
      </c>
      <c r="B245" s="1" t="s">
        <v>159</v>
      </c>
      <c r="D245" s="19">
        <v>0.05</v>
      </c>
      <c r="E245" s="20">
        <v>0.05</v>
      </c>
      <c r="F245" s="17">
        <v>47.51</v>
      </c>
      <c r="G245" s="17">
        <v>1565.29</v>
      </c>
      <c r="H245" s="17">
        <v>1862.43</v>
      </c>
      <c r="I245" s="17">
        <v>22000</v>
      </c>
      <c r="J245" s="17">
        <v>11000</v>
      </c>
      <c r="K245" s="17">
        <v>4200</v>
      </c>
      <c r="L245" s="17">
        <v>2100</v>
      </c>
    </row>
    <row r="246" spans="1:12" ht="15">
      <c r="A246" s="7"/>
      <c r="D246" s="17"/>
      <c r="E246" s="17"/>
      <c r="F246" s="17"/>
      <c r="G246" s="17"/>
      <c r="H246" s="17"/>
      <c r="I246" s="17"/>
      <c r="J246" s="17"/>
      <c r="K246" s="17"/>
      <c r="L246" s="17"/>
    </row>
    <row r="247" spans="1:12" s="55" customFormat="1" ht="38.25" customHeight="1">
      <c r="A247" s="50" t="s">
        <v>156</v>
      </c>
      <c r="B247" s="56" t="s">
        <v>237</v>
      </c>
      <c r="C247" s="56"/>
      <c r="D247" s="53">
        <v>1800</v>
      </c>
      <c r="E247" s="31">
        <v>900</v>
      </c>
      <c r="F247" s="54">
        <v>145.35</v>
      </c>
      <c r="G247" s="54">
        <v>275</v>
      </c>
      <c r="H247" s="54">
        <f>145.35+275+180+163+164</f>
        <v>927.35</v>
      </c>
      <c r="I247" s="54">
        <v>4000</v>
      </c>
      <c r="J247" s="54">
        <v>2000</v>
      </c>
      <c r="K247" s="54">
        <v>820</v>
      </c>
      <c r="L247" s="54">
        <v>410</v>
      </c>
    </row>
    <row r="248" spans="1:12" ht="15">
      <c r="A248" s="7"/>
      <c r="D248" s="17"/>
      <c r="E248" s="17"/>
      <c r="F248" s="17"/>
      <c r="G248" s="17"/>
      <c r="H248" s="17"/>
      <c r="I248" s="17"/>
      <c r="J248" s="17"/>
      <c r="K248" s="17"/>
      <c r="L248" s="17"/>
    </row>
    <row r="249" spans="1:12" ht="15">
      <c r="A249" s="7" t="s">
        <v>157</v>
      </c>
      <c r="B249" s="18" t="s">
        <v>172</v>
      </c>
      <c r="D249" s="17">
        <v>0</v>
      </c>
      <c r="E249" s="17">
        <v>0</v>
      </c>
      <c r="F249" s="17">
        <v>1.95</v>
      </c>
      <c r="G249" s="17">
        <v>3.05</v>
      </c>
      <c r="H249" s="17">
        <v>10.53</v>
      </c>
      <c r="I249" s="17">
        <v>45</v>
      </c>
      <c r="J249" s="17">
        <v>45</v>
      </c>
      <c r="K249" s="17">
        <v>9</v>
      </c>
      <c r="L249" s="17">
        <v>9</v>
      </c>
    </row>
    <row r="250" spans="1:12" ht="15">
      <c r="A250" s="7"/>
      <c r="B250" s="18"/>
      <c r="D250" s="17"/>
      <c r="E250" s="17"/>
      <c r="F250" s="17"/>
      <c r="G250" s="17"/>
      <c r="H250" s="17"/>
      <c r="I250" s="17"/>
      <c r="J250" s="17"/>
      <c r="K250" s="17"/>
      <c r="L250" s="17"/>
    </row>
    <row r="251" spans="1:12" ht="15.75">
      <c r="A251" s="7"/>
      <c r="B251" s="25" t="s">
        <v>184</v>
      </c>
      <c r="D251" s="24">
        <f>SUBTOTAL(9,D233:D250)</f>
        <v>7295</v>
      </c>
      <c r="E251" s="24">
        <f aca="true" t="shared" si="11" ref="E251:L251">SUBTOTAL(9,E233:E250)</f>
        <v>5626</v>
      </c>
      <c r="F251" s="24">
        <f t="shared" si="11"/>
        <v>2667.72</v>
      </c>
      <c r="G251" s="24">
        <f t="shared" si="11"/>
        <v>5196.54</v>
      </c>
      <c r="H251" s="24">
        <f t="shared" si="11"/>
        <v>12043.240000000002</v>
      </c>
      <c r="I251" s="24">
        <f t="shared" si="11"/>
        <v>54597</v>
      </c>
      <c r="J251" s="24">
        <f t="shared" si="11"/>
        <v>29645</v>
      </c>
      <c r="K251" s="24">
        <f t="shared" si="11"/>
        <v>12335.61</v>
      </c>
      <c r="L251" s="24">
        <f t="shared" si="11"/>
        <v>6678.8</v>
      </c>
    </row>
    <row r="252" spans="1:12" ht="15">
      <c r="A252" s="7"/>
      <c r="B252" s="18"/>
      <c r="D252" s="17"/>
      <c r="E252" s="17"/>
      <c r="F252" s="17"/>
      <c r="G252" s="17"/>
      <c r="H252" s="17"/>
      <c r="I252" s="17"/>
      <c r="J252" s="17"/>
      <c r="K252" s="17"/>
      <c r="L252" s="17"/>
    </row>
    <row r="253" spans="1:12" ht="15.75">
      <c r="A253" s="7"/>
      <c r="B253" s="13" t="s">
        <v>161</v>
      </c>
      <c r="D253" s="17"/>
      <c r="E253" s="17"/>
      <c r="F253" s="17"/>
      <c r="G253" s="17"/>
      <c r="H253" s="17"/>
      <c r="I253" s="17"/>
      <c r="J253" s="17"/>
      <c r="K253" s="17"/>
      <c r="L253" s="17"/>
    </row>
    <row r="254" spans="1:12" s="55" customFormat="1" ht="33" customHeight="1">
      <c r="A254" s="50" t="s">
        <v>158</v>
      </c>
      <c r="B254" s="56" t="s">
        <v>238</v>
      </c>
      <c r="C254" s="56"/>
      <c r="D254" s="54">
        <v>1000</v>
      </c>
      <c r="E254" s="54">
        <v>500</v>
      </c>
      <c r="F254" s="54">
        <v>350.62</v>
      </c>
      <c r="G254" s="54">
        <v>372.5</v>
      </c>
      <c r="H254" s="54">
        <v>1660.74</v>
      </c>
      <c r="I254" s="54">
        <v>5967.5</v>
      </c>
      <c r="J254" s="54">
        <v>2983.75</v>
      </c>
      <c r="K254" s="54">
        <v>865</v>
      </c>
      <c r="L254" s="54">
        <v>432.5</v>
      </c>
    </row>
    <row r="255" spans="1:12" ht="15">
      <c r="A255" s="7"/>
      <c r="D255" s="17"/>
      <c r="E255" s="17"/>
      <c r="F255" s="17"/>
      <c r="G255" s="17"/>
      <c r="H255" s="17"/>
      <c r="I255" s="17"/>
      <c r="J255" s="17"/>
      <c r="K255" s="17"/>
      <c r="L255" s="17"/>
    </row>
    <row r="256" spans="1:12" s="55" customFormat="1" ht="34.5" customHeight="1">
      <c r="A256" s="50" t="s">
        <v>160</v>
      </c>
      <c r="B256" s="58" t="s">
        <v>239</v>
      </c>
      <c r="C256" s="58"/>
      <c r="D256" s="54">
        <v>500</v>
      </c>
      <c r="E256" s="54">
        <v>250</v>
      </c>
      <c r="F256" s="54">
        <v>493.05</v>
      </c>
      <c r="G256" s="54">
        <v>642.5</v>
      </c>
      <c r="H256" s="54">
        <v>2147.5</v>
      </c>
      <c r="I256" s="54">
        <v>10752.5</v>
      </c>
      <c r="J256" s="54">
        <v>5376.25</v>
      </c>
      <c r="K256" s="54">
        <v>1655</v>
      </c>
      <c r="L256" s="54">
        <v>827.5</v>
      </c>
    </row>
    <row r="257" spans="1:12" ht="15">
      <c r="A257" s="7"/>
      <c r="B257" s="14"/>
      <c r="D257" s="17"/>
      <c r="E257" s="17"/>
      <c r="F257" s="17"/>
      <c r="G257" s="17"/>
      <c r="H257" s="17"/>
      <c r="I257" s="17"/>
      <c r="J257" s="17"/>
      <c r="K257" s="17"/>
      <c r="L257" s="17"/>
    </row>
    <row r="258" spans="1:12" ht="15">
      <c r="A258" s="7" t="s">
        <v>162</v>
      </c>
      <c r="B258" s="57" t="s">
        <v>164</v>
      </c>
      <c r="C258" s="57"/>
      <c r="D258" s="19">
        <v>1325</v>
      </c>
      <c r="E258" s="19">
        <v>1325</v>
      </c>
      <c r="F258" s="17">
        <v>182</v>
      </c>
      <c r="G258" s="17">
        <v>240</v>
      </c>
      <c r="H258" s="17">
        <f>182+240+200+210+213</f>
        <v>1045</v>
      </c>
      <c r="I258" s="17">
        <v>1200</v>
      </c>
      <c r="J258" s="17">
        <v>1200</v>
      </c>
      <c r="K258" s="17">
        <v>240</v>
      </c>
      <c r="L258" s="17">
        <v>240</v>
      </c>
    </row>
    <row r="259" spans="1:12" ht="15">
      <c r="A259" s="7"/>
      <c r="D259" s="17"/>
      <c r="E259" s="17"/>
      <c r="F259" s="17"/>
      <c r="G259" s="17"/>
      <c r="H259" s="17"/>
      <c r="I259" s="17"/>
      <c r="J259" s="17"/>
      <c r="K259" s="17"/>
      <c r="L259" s="17"/>
    </row>
    <row r="260" spans="1:12" s="55" customFormat="1" ht="49.5" customHeight="1">
      <c r="A260" s="50" t="s">
        <v>163</v>
      </c>
      <c r="B260" s="58" t="s">
        <v>173</v>
      </c>
      <c r="C260" s="58"/>
      <c r="D260" s="54">
        <v>0</v>
      </c>
      <c r="E260" s="54">
        <v>0</v>
      </c>
      <c r="F260" s="54">
        <v>0.02</v>
      </c>
      <c r="G260" s="54">
        <v>14</v>
      </c>
      <c r="H260" s="54">
        <v>18.4</v>
      </c>
      <c r="I260" s="54">
        <v>1300</v>
      </c>
      <c r="J260" s="54">
        <v>1000</v>
      </c>
      <c r="K260" s="54">
        <v>260</v>
      </c>
      <c r="L260" s="54">
        <v>220</v>
      </c>
    </row>
    <row r="261" spans="1:12" ht="15">
      <c r="A261" s="7"/>
      <c r="D261" s="17"/>
      <c r="E261" s="17"/>
      <c r="F261" s="17"/>
      <c r="G261" s="17"/>
      <c r="H261" s="17"/>
      <c r="I261" s="17"/>
      <c r="J261" s="17"/>
      <c r="K261" s="17"/>
      <c r="L261" s="17"/>
    </row>
    <row r="262" spans="1:12" ht="15.75">
      <c r="A262" s="10"/>
      <c r="B262" s="11" t="s">
        <v>35</v>
      </c>
      <c r="C262" s="12"/>
      <c r="D262" s="24">
        <f aca="true" t="shared" si="12" ref="D262:L262">SUBTOTAL(9,D254:D261)</f>
        <v>2825</v>
      </c>
      <c r="E262" s="24">
        <f t="shared" si="12"/>
        <v>2075</v>
      </c>
      <c r="F262" s="24">
        <f t="shared" si="12"/>
        <v>1025.69</v>
      </c>
      <c r="G262" s="24">
        <f t="shared" si="12"/>
        <v>1269</v>
      </c>
      <c r="H262" s="24">
        <f t="shared" si="12"/>
        <v>4871.639999999999</v>
      </c>
      <c r="I262" s="24">
        <f t="shared" si="12"/>
        <v>19220</v>
      </c>
      <c r="J262" s="24">
        <f t="shared" si="12"/>
        <v>10560</v>
      </c>
      <c r="K262" s="24">
        <f t="shared" si="12"/>
        <v>3020</v>
      </c>
      <c r="L262" s="24">
        <f t="shared" si="12"/>
        <v>1720</v>
      </c>
    </row>
    <row r="263" spans="1:12" ht="15">
      <c r="A263" s="7"/>
      <c r="D263" s="17"/>
      <c r="E263" s="17"/>
      <c r="F263" s="17"/>
      <c r="G263" s="17"/>
      <c r="H263" s="17"/>
      <c r="I263" s="17"/>
      <c r="J263" s="17"/>
      <c r="K263" s="17"/>
      <c r="L263" s="17"/>
    </row>
    <row r="264" spans="1:12" ht="16.5" thickBot="1">
      <c r="A264" s="30"/>
      <c r="B264" s="32" t="s">
        <v>165</v>
      </c>
      <c r="C264" s="33"/>
      <c r="D264" s="34">
        <f>SUBTOTAL(9,D10:D263)</f>
        <v>52010.07</v>
      </c>
      <c r="E264" s="34">
        <f aca="true" t="shared" si="13" ref="E264:L264">SUBTOTAL(9,E10:E263)</f>
        <v>20891.77665331835</v>
      </c>
      <c r="F264" s="34">
        <f t="shared" si="13"/>
        <v>12473.495</v>
      </c>
      <c r="G264" s="34">
        <f t="shared" si="13"/>
        <v>18517.305</v>
      </c>
      <c r="H264" s="34">
        <f t="shared" si="13"/>
        <v>51249.024</v>
      </c>
      <c r="I264" s="34">
        <f t="shared" si="13"/>
        <v>304674.06999999995</v>
      </c>
      <c r="J264" s="34">
        <f t="shared" si="13"/>
        <v>117515.71657142857</v>
      </c>
      <c r="K264" s="34">
        <f t="shared" si="13"/>
        <v>52335.149999999994</v>
      </c>
      <c r="L264" s="34">
        <f t="shared" si="13"/>
        <v>20878.72528571429</v>
      </c>
    </row>
    <row r="265" ht="15.75" thickTop="1"/>
  </sheetData>
  <mergeCells count="88">
    <mergeCell ref="B120:C120"/>
    <mergeCell ref="B49:C49"/>
    <mergeCell ref="B256:C256"/>
    <mergeCell ref="B258:C258"/>
    <mergeCell ref="B224:C224"/>
    <mergeCell ref="B174:C174"/>
    <mergeCell ref="B206:C206"/>
    <mergeCell ref="B204:C204"/>
    <mergeCell ref="B212:C212"/>
    <mergeCell ref="B243:C243"/>
    <mergeCell ref="B180:C180"/>
    <mergeCell ref="B182:C182"/>
    <mergeCell ref="B184:C184"/>
    <mergeCell ref="B186:C186"/>
    <mergeCell ref="B168:C168"/>
    <mergeCell ref="B170:C170"/>
    <mergeCell ref="B176:C176"/>
    <mergeCell ref="B178:C178"/>
    <mergeCell ref="B156:C156"/>
    <mergeCell ref="B158:C158"/>
    <mergeCell ref="B160:C160"/>
    <mergeCell ref="B165:C165"/>
    <mergeCell ref="B118:C118"/>
    <mergeCell ref="B127:C127"/>
    <mergeCell ref="B152:C152"/>
    <mergeCell ref="B154:C154"/>
    <mergeCell ref="B150:C150"/>
    <mergeCell ref="B145:C145"/>
    <mergeCell ref="B129:C129"/>
    <mergeCell ref="B141:C141"/>
    <mergeCell ref="B122:C122"/>
    <mergeCell ref="B110:C110"/>
    <mergeCell ref="B112:C112"/>
    <mergeCell ref="B114:C114"/>
    <mergeCell ref="B116:C116"/>
    <mergeCell ref="B102:C102"/>
    <mergeCell ref="B104:C104"/>
    <mergeCell ref="B106:C106"/>
    <mergeCell ref="B108:C108"/>
    <mergeCell ref="B94:C94"/>
    <mergeCell ref="B96:C96"/>
    <mergeCell ref="B98:C98"/>
    <mergeCell ref="B100:C100"/>
    <mergeCell ref="B61:C61"/>
    <mergeCell ref="B71:C71"/>
    <mergeCell ref="B81:C81"/>
    <mergeCell ref="B92:C92"/>
    <mergeCell ref="B260:C260"/>
    <mergeCell ref="B30:C30"/>
    <mergeCell ref="B31:C31"/>
    <mergeCell ref="B23:C23"/>
    <mergeCell ref="B25:C25"/>
    <mergeCell ref="B247:C247"/>
    <mergeCell ref="B254:C254"/>
    <mergeCell ref="B35:C35"/>
    <mergeCell ref="B41:C41"/>
    <mergeCell ref="B46:C46"/>
    <mergeCell ref="B9:C9"/>
    <mergeCell ref="B11:C11"/>
    <mergeCell ref="B17:C17"/>
    <mergeCell ref="B18:C18"/>
    <mergeCell ref="B12:C12"/>
    <mergeCell ref="B14:C14"/>
    <mergeCell ref="B10:C10"/>
    <mergeCell ref="I5:L5"/>
    <mergeCell ref="A1:L1"/>
    <mergeCell ref="A2:L2"/>
    <mergeCell ref="A3:L3"/>
    <mergeCell ref="B5:B7"/>
    <mergeCell ref="I6:J6"/>
    <mergeCell ref="A5:A7"/>
    <mergeCell ref="D5:E5"/>
    <mergeCell ref="K6:L6"/>
    <mergeCell ref="D6:E6"/>
    <mergeCell ref="C5:C7"/>
    <mergeCell ref="F6:F7"/>
    <mergeCell ref="H6:H7"/>
    <mergeCell ref="G6:G7"/>
    <mergeCell ref="B19:C19"/>
    <mergeCell ref="B21:C21"/>
    <mergeCell ref="B33:C33"/>
    <mergeCell ref="B237:C237"/>
    <mergeCell ref="B172:C172"/>
    <mergeCell ref="B193:C193"/>
    <mergeCell ref="B202:C202"/>
    <mergeCell ref="B139:C139"/>
    <mergeCell ref="B59:C59"/>
    <mergeCell ref="B57:C57"/>
  </mergeCells>
  <printOptions horizontalCentered="1"/>
  <pageMargins left="0.5" right="0.5" top="0.5" bottom="0.5" header="0.511811023622047" footer="0.511811023622047"/>
  <pageSetup firstPageNumber="66" useFirstPageNumber="1" horizontalDpi="120" verticalDpi="120" orientation="landscape" pageOrder="overThenDown" paperSize="9" scale="70" r:id="rId1"/>
  <rowBreaks count="5" manualBreakCount="5">
    <brk id="27" max="255" man="1"/>
    <brk id="50" max="255" man="1"/>
    <brk id="166" max="255" man="1"/>
    <brk id="191" max="255" man="1"/>
    <brk id="2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JD(Planning)</dc:creator>
  <cp:keywords/>
  <dc:description/>
  <cp:lastModifiedBy>EDPHCL</cp:lastModifiedBy>
  <cp:lastPrinted>2007-04-09T09:43:23Z</cp:lastPrinted>
  <dcterms:created xsi:type="dcterms:W3CDTF">2001-10-11T12:07:28Z</dcterms:created>
  <dcterms:modified xsi:type="dcterms:W3CDTF">2007-04-09T09:43:24Z</dcterms:modified>
  <cp:category/>
  <cp:version/>
  <cp:contentType/>
  <cp:contentStatus/>
</cp:coreProperties>
</file>